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1145" windowHeight="5640" activeTab="0"/>
  </bookViews>
  <sheets>
    <sheet name="Design Buffer using BARNY" sheetId="1" r:id="rId1"/>
    <sheet name="Existng Buffer P - Using BARNY " sheetId="2" r:id="rId2"/>
    <sheet name="BARNY Musings" sheetId="3" r:id="rId3"/>
    <sheet name="RCN" sheetId="4" r:id="rId4"/>
  </sheets>
  <externalReferences>
    <externalReference r:id="rId7"/>
  </externalReferences>
  <definedNames>
    <definedName name="\p">#REF!</definedName>
    <definedName name="_Regression_Int" hidden="1">1</definedName>
    <definedName name="_xlnm.Print_Area" localSheetId="2">'BARNY Musings'!$A:$IV</definedName>
    <definedName name="_xlnm.Print_Area" localSheetId="0">'Design Buffer using BARNY'!$A$1:$I$51</definedName>
    <definedName name="_xlnm.Print_Area" localSheetId="1">'Existng Buffer P - Using BARNY '!$A$1:$I$51</definedName>
    <definedName name="PRINT_AREA_MI">#REF!</definedName>
    <definedName name="PRINT_AREA_MI_rw">#REF!</definedName>
    <definedName name="_xlnm.Print_Titles" localSheetId="3">'RCN'!#REF!,'RCN'!$1:$6</definedName>
    <definedName name="_xlnm.Print_Titles">'http://datcp.wi.gov/LW\USERS\STEVE\EngSS-Master Copies\[POND.XLS]EFH2'!$M:$M,'http://datcp.wi.gov/LW\USERS\STEVE\EngSS-Master Copies\[POND.XLS]EFH2'!$1:$6</definedName>
    <definedName name="soil" localSheetId="3">'RCN'!$AG$1:$AG$10</definedName>
    <definedName name="soil2" localSheetId="3">'RCN'!$AH$1:$AH$10</definedName>
    <definedName name="soils1" localSheetId="3">'RCN'!$AG$1:$AG$245</definedName>
    <definedName name="soils2" localSheetId="3">'RCN'!$AH$1:$AH$245</definedName>
    <definedName name="soils3" localSheetId="3">'RCN'!$AK$1:$AK$245</definedName>
  </definedNames>
  <calcPr fullCalcOnLoad="1"/>
</workbook>
</file>

<file path=xl/sharedStrings.xml><?xml version="1.0" encoding="utf-8"?>
<sst xmlns="http://schemas.openxmlformats.org/spreadsheetml/2006/main" count="4914" uniqueCount="748">
  <si>
    <t>RCN</t>
  </si>
  <si>
    <t>Date:</t>
  </si>
  <si>
    <t>Volume</t>
  </si>
  <si>
    <t>Input</t>
  </si>
  <si>
    <t xml:space="preserve"> sq ft</t>
  </si>
  <si>
    <t>Design Data</t>
  </si>
  <si>
    <t>(Data is arranged like companion document in Chapter 9,AWMFH.)</t>
  </si>
  <si>
    <t xml:space="preserve">     1. Lot area:</t>
  </si>
  <si>
    <t>Total:</t>
  </si>
  <si>
    <t>Equivalent Square size:</t>
  </si>
  <si>
    <t>sq ft</t>
  </si>
  <si>
    <t xml:space="preserve">     3. Minimum area based on "lot ratio"</t>
  </si>
  <si>
    <t>Minimum buffer area :</t>
  </si>
  <si>
    <t>(Based on "Lot Ratio")</t>
  </si>
  <si>
    <t>Background:</t>
  </si>
  <si>
    <t>This spreadsheet was developed by Bob Wilson for use with the 635 standard.</t>
  </si>
  <si>
    <t>If you have any questions, call him at 920-832-2116</t>
  </si>
  <si>
    <t>inches</t>
  </si>
  <si>
    <t>Minimum for Earth Portion :</t>
  </si>
  <si>
    <t>Minimum for Paved Portion :</t>
  </si>
  <si>
    <t>Beef</t>
  </si>
  <si>
    <t>12/01</t>
  </si>
  <si>
    <t>lbs</t>
  </si>
  <si>
    <t>Earth lot area:</t>
  </si>
  <si>
    <t>Paved lot area:</t>
  </si>
  <si>
    <t>Step 10</t>
  </si>
  <si>
    <t>S=1000/CN-10</t>
  </si>
  <si>
    <t>Q=(P-.2S)^2/(P+.8S)</t>
  </si>
  <si>
    <t xml:space="preserve">     RCN Computations</t>
  </si>
  <si>
    <t>Earth</t>
  </si>
  <si>
    <t>Farmer:</t>
  </si>
  <si>
    <t>Planner/Designer:</t>
  </si>
  <si>
    <t>Prorated RCN</t>
  </si>
  <si>
    <t>Heavy use</t>
  </si>
  <si>
    <t xml:space="preserve">   Paved lot</t>
  </si>
  <si>
    <t>medium use</t>
  </si>
  <si>
    <t xml:space="preserve"> Earth lot</t>
  </si>
  <si>
    <t>Light use</t>
  </si>
  <si>
    <t>Output</t>
  </si>
  <si>
    <t>Madison</t>
  </si>
  <si>
    <t xml:space="preserve">   Runoff Volume</t>
  </si>
  <si>
    <t>Appleton</t>
  </si>
  <si>
    <t>Size,sq ft</t>
  </si>
  <si>
    <t>Size,acre</t>
  </si>
  <si>
    <t>S</t>
  </si>
  <si>
    <t>Runoff, in</t>
  </si>
  <si>
    <t>Acre-inch</t>
  </si>
  <si>
    <t>Closest City of similar climate:</t>
  </si>
  <si>
    <t>Wausau</t>
  </si>
  <si>
    <t>Animl Lot</t>
  </si>
  <si>
    <t>Animal Lot</t>
  </si>
  <si>
    <t>Eau Claire</t>
  </si>
  <si>
    <t xml:space="preserve">        THIS PORTION OF SPREADSHEET</t>
  </si>
  <si>
    <t>Trib Areas</t>
  </si>
  <si>
    <t xml:space="preserve">        SHOWS THE COMPUTATIONS FOR</t>
  </si>
  <si>
    <t xml:space="preserve">        A SINGLE STORM.  IT IS NOT PART</t>
  </si>
  <si>
    <t xml:space="preserve">        OF THE AVERAGE P PER YEAR.</t>
  </si>
  <si>
    <t>Animal Lot size:</t>
  </si>
  <si>
    <t>Roofs</t>
  </si>
  <si>
    <t>Total Vol=</t>
  </si>
  <si>
    <t>Yes= 1; No= 2</t>
  </si>
  <si>
    <t>Buffer</t>
  </si>
  <si>
    <t>Step 11</t>
  </si>
  <si>
    <t>Equivalent Animal Units</t>
  </si>
  <si>
    <t>Table for first animals</t>
  </si>
  <si>
    <t>Factor</t>
  </si>
  <si>
    <t>Prorated</t>
  </si>
  <si>
    <t>P</t>
  </si>
  <si>
    <t>ANIMALS</t>
  </si>
  <si>
    <t>Animals on lot:</t>
  </si>
  <si>
    <t>number</t>
  </si>
  <si>
    <t>Weight,lbs</t>
  </si>
  <si>
    <t>Number</t>
  </si>
  <si>
    <t>EAU</t>
  </si>
  <si>
    <t>Type of animal:</t>
  </si>
  <si>
    <t>Dairy Cow</t>
  </si>
  <si>
    <t>Mass</t>
  </si>
  <si>
    <t>Ave. Animal Weight:</t>
  </si>
  <si>
    <t>Load at</t>
  </si>
  <si>
    <t>Load</t>
  </si>
  <si>
    <t>Lot Use:</t>
  </si>
  <si>
    <t>Lot</t>
  </si>
  <si>
    <t>%</t>
  </si>
  <si>
    <t>Below</t>
  </si>
  <si>
    <t>edge</t>
  </si>
  <si>
    <t>Left</t>
  </si>
  <si>
    <t>Table for second animals</t>
  </si>
  <si>
    <t>Precip. for single storm:</t>
  </si>
  <si>
    <t>Runoff from single storm:</t>
  </si>
  <si>
    <t xml:space="preserve"> inches</t>
  </si>
  <si>
    <t xml:space="preserve">  P at edge of lot:</t>
  </si>
  <si>
    <t>Cummulative lb of P</t>
  </si>
  <si>
    <t>lb</t>
  </si>
  <si>
    <t>TRIBUTARY AREAS</t>
  </si>
  <si>
    <t>Totals</t>
  </si>
  <si>
    <t xml:space="preserve"> P after buffer:</t>
  </si>
  <si>
    <t>Tributary area:</t>
  </si>
  <si>
    <t>Runoff Curve Number:</t>
  </si>
  <si>
    <t>Step 12</t>
  </si>
  <si>
    <t>Manure Pack</t>
  </si>
  <si>
    <t>% manure pack</t>
  </si>
  <si>
    <t>It's equal to the AUD if the AUD is less than 100.</t>
  </si>
  <si>
    <t>Manure Pack Availability</t>
  </si>
  <si>
    <t>Roof Trib. area:</t>
  </si>
  <si>
    <t xml:space="preserve">  lbs P per year</t>
  </si>
  <si>
    <t>Heavy</t>
  </si>
  <si>
    <t>Medium</t>
  </si>
  <si>
    <t>Light</t>
  </si>
  <si>
    <t>For Lot</t>
  </si>
  <si>
    <t>% pack</t>
  </si>
  <si>
    <t>Concrete</t>
  </si>
  <si>
    <t>"c" Value Table</t>
  </si>
  <si>
    <t>Permanent Meadow</t>
  </si>
  <si>
    <t>Length:</t>
  </si>
  <si>
    <t xml:space="preserve"> ft</t>
  </si>
  <si>
    <t>Woods, Heavy Litter</t>
  </si>
  <si>
    <t>Step 13</t>
  </si>
  <si>
    <t>Concentration at Lot Edge</t>
  </si>
  <si>
    <t>Step 15</t>
  </si>
  <si>
    <t>Slope:</t>
  </si>
  <si>
    <t>Woods, Lt Ltr</t>
  </si>
  <si>
    <t>Concentration at lot edge (P)</t>
  </si>
  <si>
    <t>Determine Velocity through buffers</t>
  </si>
  <si>
    <t>raw</t>
  </si>
  <si>
    <t>velocity</t>
  </si>
  <si>
    <t>Good Pasture</t>
  </si>
  <si>
    <t>mg/l</t>
  </si>
  <si>
    <t>First      c =</t>
  </si>
  <si>
    <t>Fair Pasture</t>
  </si>
  <si>
    <t>Slope =</t>
  </si>
  <si>
    <t>Small Grain</t>
  </si>
  <si>
    <t>Step 14</t>
  </si>
  <si>
    <t>Mass Load at Lot Edge</t>
  </si>
  <si>
    <t>Second c =</t>
  </si>
  <si>
    <t>Legume</t>
  </si>
  <si>
    <t>Conc,mg/l</t>
  </si>
  <si>
    <t>Mass load</t>
  </si>
  <si>
    <t xml:space="preserve">       "c" :</t>
  </si>
  <si>
    <t>Contoured Row Crop</t>
  </si>
  <si>
    <t xml:space="preserve"> lbs</t>
  </si>
  <si>
    <t>Step 17</t>
  </si>
  <si>
    <t>Step 16</t>
  </si>
  <si>
    <t>Reduction in pollutant strength, %</t>
  </si>
  <si>
    <t>Time of Contact</t>
  </si>
  <si>
    <t>Contact</t>
  </si>
  <si>
    <t>log of time</t>
  </si>
  <si>
    <t>Phosphorus</t>
  </si>
  <si>
    <t>Distance</t>
  </si>
  <si>
    <t>Time</t>
  </si>
  <si>
    <t>no more than 100</t>
  </si>
  <si>
    <t>no less than zero</t>
  </si>
  <si>
    <t>Total time</t>
  </si>
  <si>
    <t>seconds</t>
  </si>
  <si>
    <t>Step 18</t>
  </si>
  <si>
    <t>Steps 19 &amp; 20</t>
  </si>
  <si>
    <t>Reduced Pollutant strength remaining (P)</t>
  </si>
  <si>
    <t xml:space="preserve">Reduced pollutant strength due to dilution </t>
  </si>
  <si>
    <t>Conc.</t>
  </si>
  <si>
    <t>Reduced Conc.</t>
  </si>
  <si>
    <t>No reduction</t>
  </si>
  <si>
    <t>Step 21</t>
  </si>
  <si>
    <t>Final Pollutant Load (step 21)</t>
  </si>
  <si>
    <t>Mass Load</t>
  </si>
  <si>
    <t>P at Lot Edge</t>
  </si>
  <si>
    <t>P After Buffers</t>
  </si>
  <si>
    <t>P at</t>
  </si>
  <si>
    <t>P after</t>
  </si>
  <si>
    <t>Lot Edge</t>
  </si>
  <si>
    <t>buffers</t>
  </si>
  <si>
    <t>RAINFALL</t>
  </si>
  <si>
    <t>Rainfall less than .1" was omitted.</t>
  </si>
  <si>
    <t>EauClaire</t>
  </si>
  <si>
    <t>Jan</t>
  </si>
  <si>
    <t>Feb</t>
  </si>
  <si>
    <t>Outputs for chosen city:</t>
  </si>
  <si>
    <t>Mar</t>
  </si>
  <si>
    <t>Apr</t>
  </si>
  <si>
    <t>May</t>
  </si>
  <si>
    <t>Jun</t>
  </si>
  <si>
    <t>(Actual Green Bay rainfall)</t>
  </si>
  <si>
    <t>Jul</t>
  </si>
  <si>
    <t>Aug</t>
  </si>
  <si>
    <t>Sept</t>
  </si>
  <si>
    <t>Oct</t>
  </si>
  <si>
    <t>Nov</t>
  </si>
  <si>
    <t>Dec</t>
  </si>
  <si>
    <t>Total Rainfall</t>
  </si>
  <si>
    <t>P for 10 yr storm</t>
  </si>
  <si>
    <t>P after buffers</t>
  </si>
  <si>
    <t>For more history about the original BARNY and Young's research see COMPANION DOCUMENT</t>
  </si>
  <si>
    <t># 635 - 3 in Chapter 10 of the AWMFH.</t>
  </si>
  <si>
    <t xml:space="preserve">As our computers get more advanced, they become less able to run DOS programs like the  </t>
  </si>
  <si>
    <t xml:space="preserve">original BARNY.  Ken Baun, the DNR computer hot shot who originally wrote BARNY, has flown </t>
  </si>
  <si>
    <t>This version of BARNY is primarily for use in designing buffers as prescribed in the 635 standard,</t>
  </si>
  <si>
    <t>Most things are identical to the old BARNY, but a few items are different:</t>
  </si>
  <si>
    <t xml:space="preserve">1. Lot use - The old BARNY only adjusted for lot use when the lot density was under 100 equivalent </t>
  </si>
  <si>
    <t xml:space="preserve">animal units per acre.  I have done the present BARNY to reduce the manure pack at all density </t>
  </si>
  <si>
    <t>levels.</t>
  </si>
  <si>
    <t>Hogs are not included.  We aren't aware of anyone doing outside lots for hogs anyway.</t>
  </si>
  <si>
    <t>OUTPUT</t>
  </si>
  <si>
    <t xml:space="preserve">The old BARNY gave output of COD and P for both the 10 year storm and average annual.  </t>
  </si>
  <si>
    <t>(The original ARS rating from Young only did the 10 year storm, but Ken Baun added the average</t>
  </si>
  <si>
    <t xml:space="preserve">annual output.) </t>
  </si>
  <si>
    <t xml:space="preserve">Back in the 70's the COD number and an associated rating number were used by SCS to rate </t>
  </si>
  <si>
    <t xml:space="preserve">barnyards for ASCS cost sharing.  After the Wisconsin Fund watersheds got going in 1979, DNR </t>
  </si>
  <si>
    <t>used the P value rather than COD.  After Ken added the average annual P value, they used that</t>
  </si>
  <si>
    <t>rather than the single storm P value.  This makes sense since water quality is largely influenced</t>
  </si>
  <si>
    <t xml:space="preserve">by the many small storms rather than the single large event.  </t>
  </si>
  <si>
    <t xml:space="preserve">Since DNR only uses the annual P number and since the 635 standard refers to the annual P </t>
  </si>
  <si>
    <t xml:space="preserve">number, the new version of BARNY only supplies that output.  It seems more confusing to the user </t>
  </si>
  <si>
    <t xml:space="preserve">to supply a bunch of unused outputs.  Therefore, the new BARNY only provides the average </t>
  </si>
  <si>
    <t>annual P loss.</t>
  </si>
  <si>
    <t>The new BARNY can compute the pounds of P for a given single storm, such as a 25 year storm.</t>
  </si>
  <si>
    <t>this option.</t>
  </si>
  <si>
    <t xml:space="preserve">I found that one year of rainfall events for Green Bay (1990, reduced slightly) gave essentially </t>
  </si>
  <si>
    <t>the same outputs as the average yearly values for the old BARNY for Madison.</t>
  </si>
  <si>
    <t>Therefore, I used this to represent Madison and adjusted for other cities using results from the old</t>
  </si>
  <si>
    <t>BARNY.  Since the results were within several percent of the old results, there didn't seem any</t>
  </si>
  <si>
    <t>point in trying to incorporate a mountain of rainfall data for all counties.  Rainfall is only statistics</t>
  </si>
  <si>
    <t xml:space="preserve">For relatively small drainage areas of less than an acre the BARNY results for various counties </t>
  </si>
  <si>
    <t>If you have questions or comments about the BARNY spreadsheet, please contact Bob Wilson</t>
  </si>
  <si>
    <t>WASTEWATER TREATMENT STRIP.</t>
  </si>
  <si>
    <t xml:space="preserve">Because of this limited use, we have not included channelized buffers or some of the  </t>
  </si>
  <si>
    <t xml:space="preserve">2. Lot paving - In the new version you enter the actual square feet of paved and earth lot.   </t>
  </si>
  <si>
    <t xml:space="preserve">The spreadsheet will compute the total lot size. </t>
  </si>
  <si>
    <t>3. Animals - The new version is more flexible.  You input the average weight of the dairy and</t>
  </si>
  <si>
    <t>The computations are off to the right of the main BARNY sheet.  Contact Bob W. if you want to use</t>
  </si>
  <si>
    <t xml:space="preserve">            (Minimum ratios are 1.5 for paved and 1.0 for earth.)</t>
  </si>
  <si>
    <t>the coop, so I have put BARNY into Windows format.</t>
  </si>
  <si>
    <t>buffers because they aren't acceptable in standard 635 anyway.</t>
  </si>
  <si>
    <t>DESIGNED SETTLING BASIN</t>
  </si>
  <si>
    <t xml:space="preserve">In order to be considered a "designed" settling basin the basin must meet the criteria in </t>
  </si>
  <si>
    <t>TYPE OF ANIMAL</t>
  </si>
  <si>
    <t>previous documentation and storage options. (The original research didn't include channelized</t>
  </si>
  <si>
    <t>buffers either.)</t>
  </si>
  <si>
    <t>GENERAL COMMENTS ABOUT NEW BARNY</t>
  </si>
  <si>
    <t>like dairy manure.</t>
  </si>
  <si>
    <t>different rations, so the amount of P in the manure is different.</t>
  </si>
  <si>
    <t>If you are dealing with beef being raised on pasture and a heavy hay ration, such as</t>
  </si>
  <si>
    <t>"organic" beef, then it would be correct to call them "dairy" since their manure will be more</t>
  </si>
  <si>
    <t>RCN (Runoff Curve Number)</t>
  </si>
  <si>
    <t>You can enter any curve number, but BARNY will assume an RCN of 60 if you enter anything</t>
  </si>
  <si>
    <t>less than 60.  This is due to the possibility of frozen conditions.</t>
  </si>
  <si>
    <t>"c" Value</t>
  </si>
  <si>
    <t xml:space="preserve">Grazers have wondered what c value to use.  A properly grazed field in a rotational grazing </t>
  </si>
  <si>
    <t>system should be better than good pasture (.22) and legume (.29) but not as good as permanent</t>
  </si>
  <si>
    <t>meadow (.59).  I suggest you use .44 for good grazing management and .29 for fair grazing.</t>
  </si>
  <si>
    <t>in Appleton. (920) 832-2116</t>
  </si>
  <si>
    <t>COMMENTS ABOUT THE ORIGINS OF BARNY</t>
  </si>
  <si>
    <t>DIFFERENCES BETWEEN OLD BARNY AND NEW BARNY</t>
  </si>
  <si>
    <t>~~~~~~~~~~~~~~~~~~~~~~~~~~~~~~~~~~~~~~~~~~~~~~~~~~~~~~~~~~~~~~~~~~~~~~</t>
  </si>
  <si>
    <t xml:space="preserve">4. Buffers - There are places for two reaches of buffer.  We haven't included channelized flow </t>
  </si>
  <si>
    <t>beef based on the amount of P in the manure.</t>
  </si>
  <si>
    <t xml:space="preserve">beef animals.  Other animals are not included since most lots are for dairy or beef animals.  If you </t>
  </si>
  <si>
    <t>have open lots for other animals, contact one of the engineers.  We can figure a ratio to cows or</t>
  </si>
  <si>
    <t xml:space="preserve">until it happens anyway. </t>
  </si>
  <si>
    <t>for Grant County where the old values were more.  This version of BARNY does not try to match</t>
  </si>
  <si>
    <t xml:space="preserve">don't vary more than 10% except for the far NE where the old values were about 20% less and </t>
  </si>
  <si>
    <t>these different numbers in the far NE and far SW.</t>
  </si>
  <si>
    <t xml:space="preserve">water bodies.  For instance, if a high quality stream or wetland is nearby, you will want to get the </t>
  </si>
  <si>
    <t>P output down near zero.)</t>
  </si>
  <si>
    <r>
      <t xml:space="preserve">Note: The equivalent square size is combined with the BARNY length to get an </t>
    </r>
    <r>
      <rPr>
        <b/>
        <sz val="11"/>
        <rFont val="Arial"/>
        <family val="2"/>
      </rPr>
      <t>area</t>
    </r>
    <r>
      <rPr>
        <sz val="11"/>
        <rFont val="Arial"/>
        <family val="0"/>
      </rPr>
      <t xml:space="preserve">. </t>
    </r>
  </si>
  <si>
    <r>
      <t xml:space="preserve">It is the </t>
    </r>
    <r>
      <rPr>
        <b/>
        <sz val="11"/>
        <rFont val="Arial"/>
        <family val="2"/>
      </rPr>
      <t>area</t>
    </r>
    <r>
      <rPr>
        <sz val="11"/>
        <rFont val="Arial"/>
        <family val="0"/>
      </rPr>
      <t xml:space="preserve"> that we must meet in order to have an adequately sized buffer. </t>
    </r>
  </si>
  <si>
    <t>Width:</t>
  </si>
  <si>
    <t>Your choice based on impacted</t>
  </si>
  <si>
    <t xml:space="preserve"> resources.  Max is 15.</t>
  </si>
  <si>
    <t xml:space="preserve"> %</t>
  </si>
  <si>
    <t>P Output:</t>
  </si>
  <si>
    <t>Is there a designed settling basin?</t>
  </si>
  <si>
    <t>Non-contoured Row Crop</t>
  </si>
  <si>
    <t>BARNY Distance:</t>
  </si>
  <si>
    <t xml:space="preserve"> ft   (Not buffer length)</t>
  </si>
  <si>
    <t>BUFFER DESIGN</t>
  </si>
  <si>
    <t>DESIGN A BUFFER USING BARNY</t>
  </si>
  <si>
    <t xml:space="preserve">   1= Heavy;2=Med;3= Light)</t>
  </si>
  <si>
    <t xml:space="preserve">     ( Dairy = 1;Beef=2 )</t>
  </si>
  <si>
    <t xml:space="preserve">        at downstream lot edge</t>
  </si>
  <si>
    <t xml:space="preserve">    10/04</t>
  </si>
  <si>
    <t>Changed BARNY and buffer design so that they would operate together.</t>
  </si>
  <si>
    <t>Also added tab to rate an existing buffer for P output.</t>
  </si>
  <si>
    <t>Buffer area:</t>
  </si>
  <si>
    <t>EXISTING BUFFER P OUTPUT  (Based on BARNY)</t>
  </si>
  <si>
    <t>SPECIFIC COMMENTS ABOUT ENTRIES IN BUFFER DESIGN</t>
  </si>
  <si>
    <t>Buffer Sizing by trial and error:</t>
  </si>
  <si>
    <t>c value</t>
  </si>
  <si>
    <t xml:space="preserve"> For c values see table below</t>
  </si>
  <si>
    <t>This is the second reach of the original buffer design.</t>
  </si>
  <si>
    <t>When I changed the buffer design in 11/04, I reduced the buffer to a single reach.</t>
  </si>
  <si>
    <t>BUFFER SUMMARY</t>
  </si>
  <si>
    <t>Length</t>
  </si>
  <si>
    <t>Width</t>
  </si>
  <si>
    <t>that can be released</t>
  </si>
  <si>
    <t>Maximum P output</t>
  </si>
  <si>
    <t>modified length for BARNY</t>
  </si>
  <si>
    <t>Fair managed grazing</t>
  </si>
  <si>
    <t>Well managed grazing</t>
  </si>
  <si>
    <t xml:space="preserve"> The P output must be between 0 and 15 depending on the downstream</t>
  </si>
  <si>
    <t>Design is done by trial and error.</t>
  </si>
  <si>
    <t>First you must choose a buffer size that meets the minimum requirement based on the lot size.</t>
  </si>
  <si>
    <t>Remember, the buffer must be 150% as large as a paved lot and 100% as large as an earthen lot.</t>
  </si>
  <si>
    <t xml:space="preserve">The spreadsheet won't give you an answer until your buffer is large enough to meet both the </t>
  </si>
  <si>
    <t>lot size criteria and the BARNY criteria.</t>
  </si>
  <si>
    <t>Enter Existing Buffer Data:</t>
  </si>
  <si>
    <t>Slope</t>
  </si>
  <si>
    <t>BARNY - Where it came from</t>
  </si>
  <si>
    <t>BARNY started out as the Agricultural Resource Station (ARS) rating system for feedlots</t>
  </si>
  <si>
    <t xml:space="preserve">developed by a fellow named Young in Minnesota (about 1977).  Some offices used it for a while </t>
  </si>
  <si>
    <t>as a rating system for ACP barnyards in the early 80's.  DNR also adopted the system, making a few</t>
  </si>
  <si>
    <t xml:space="preserve">and SCS together to agree on the parameters in BARNY.  So we did.  Ken Baun, DNR, put our </t>
  </si>
  <si>
    <t>agreed-to ideas on the computer.  As a result we had the user friendly Dos version.</t>
  </si>
  <si>
    <t>It's still around on some computers and works fine.</t>
  </si>
  <si>
    <t xml:space="preserve">BARNY is almost too easy.  You input a little data, and out pop ratings according to COD </t>
  </si>
  <si>
    <t>(Chemical Oxygen Demand) and total ponds of phosphorus (P) carried off in a 10 year storm</t>
  </si>
  <si>
    <t xml:space="preserve">or in an average year.  Whether it's really true is seldom considered.  Young did his research </t>
  </si>
  <si>
    <t>in such a way as to make some parts of the output pretty credible and other parts pretty questionable.</t>
  </si>
  <si>
    <t>Young did all his research on plots of different crops planted below a large beef feedlot.  The crops</t>
  </si>
  <si>
    <t>were planted on the contour.  Once the crops were growing well, Young used a rain simulator to</t>
  </si>
  <si>
    <t xml:space="preserve">make rain on a porion of the feedlot.  He then measured the parameters like COD, N, and P at the </t>
  </si>
  <si>
    <t>effectiveness of various buffers is pretty good.  All else is pretty questionable.</t>
  </si>
  <si>
    <t>Young assumed that any water from upstream that ran onto the lot picked up the same amount of</t>
  </si>
  <si>
    <t>nutrients as rain that falls directly on the lot.  This may be true for very small upstream drainage</t>
  </si>
  <si>
    <t>areas where the water is spread out, but it is definitely not true when the water is concentrated.</t>
  </si>
  <si>
    <t>Also, roof water is treated the same as other upstream water even though the roof water falls right</t>
  </si>
  <si>
    <t xml:space="preserve">                                                                                                                                  RW   11/2005</t>
  </si>
  <si>
    <t xml:space="preserve">        THE "Steps" ARE THE STEPS FROM</t>
  </si>
  <si>
    <t xml:space="preserve">        YOUNG'S ORIGINAL ARS RATING</t>
  </si>
  <si>
    <t xml:space="preserve">        PROGRAM.</t>
  </si>
  <si>
    <t>Changed BARNY and buffer design so that they would operate together on one sheet.</t>
  </si>
  <si>
    <t xml:space="preserve">  8/05</t>
  </si>
  <si>
    <t>Made a few minor format changes.</t>
  </si>
  <si>
    <t>standard 350, Sediment Basin.  A wall and orifice or slots don't qualify without the storage volume.</t>
  </si>
  <si>
    <t>The output results for dairy and beef will differ because the manure is different.  They are fed</t>
  </si>
  <si>
    <t>If you are dealing with heifers that are being fed much like the cows, then dairy is correct.</t>
  </si>
  <si>
    <t>P output</t>
  </si>
  <si>
    <t xml:space="preserve">modifications and calling it BARNY.  About 1987 it seemed like a good idea to gather DNR, DATCP, </t>
  </si>
  <si>
    <t xml:space="preserve">edge of the feedlot and at various distances downslope in the crops.  As a result the data on the </t>
  </si>
  <si>
    <t>where the manure is usually the thickest.  Therefore, streams flowing across the yard are usually</t>
  </si>
  <si>
    <t>over-rated, and roof gutters are usually under rated.  This being said, the rating is still a fairly</t>
  </si>
  <si>
    <t>no larger than the lot itself.</t>
  </si>
  <si>
    <t>reasoinable number for comparison with other lots as long as the upstream drainage area is</t>
  </si>
  <si>
    <t>Cover Type</t>
  </si>
  <si>
    <t>Treatment</t>
  </si>
  <si>
    <t>Curve Numbers for Hydrologic Soil Type</t>
  </si>
  <si>
    <t>County</t>
  </si>
  <si>
    <t>curve</t>
  </si>
  <si>
    <t>Ia</t>
  </si>
  <si>
    <t>ADRAIN</t>
  </si>
  <si>
    <t>A/D</t>
  </si>
  <si>
    <t xml:space="preserve">   -----   </t>
  </si>
  <si>
    <t>A</t>
  </si>
  <si>
    <t>B</t>
  </si>
  <si>
    <t>C</t>
  </si>
  <si>
    <t>D</t>
  </si>
  <si>
    <t>ADAMS</t>
  </si>
  <si>
    <t>(in)</t>
  </si>
  <si>
    <t>ALBAN</t>
  </si>
  <si>
    <t xml:space="preserve">CULTIVATED AGRICULTURAL LANDS   </t>
  </si>
  <si>
    <t>hydrologic condition</t>
  </si>
  <si>
    <t xml:space="preserve">  </t>
  </si>
  <si>
    <t>ASHLAND</t>
  </si>
  <si>
    <t>ALBAN VARIANT</t>
  </si>
  <si>
    <t>Fallow</t>
  </si>
  <si>
    <t xml:space="preserve">              Bare soil</t>
  </si>
  <si>
    <t>----</t>
  </si>
  <si>
    <t>-----------</t>
  </si>
  <si>
    <t>BARRON</t>
  </si>
  <si>
    <t>ALLENDALE</t>
  </si>
  <si>
    <t xml:space="preserve">              Crop residue (CR)</t>
  </si>
  <si>
    <t>poor</t>
  </si>
  <si>
    <t>BAYFIELD</t>
  </si>
  <si>
    <t>ALPENA</t>
  </si>
  <si>
    <t>good</t>
  </si>
  <si>
    <t>BROWN</t>
  </si>
  <si>
    <t>ALTDORF</t>
  </si>
  <si>
    <t>Row Crops</t>
  </si>
  <si>
    <t xml:space="preserve">              Straight row (SR)</t>
  </si>
  <si>
    <t>BUFFALO</t>
  </si>
  <si>
    <t>ANGELICA</t>
  </si>
  <si>
    <t>B/D</t>
  </si>
  <si>
    <t>BURNETT</t>
  </si>
  <si>
    <t>ANTIGO</t>
  </si>
  <si>
    <t xml:space="preserve">              SR + Crop residue</t>
  </si>
  <si>
    <t>CALUMET</t>
  </si>
  <si>
    <t>ARNHEIM</t>
  </si>
  <si>
    <t>a</t>
  </si>
  <si>
    <t>a  Smooth Surface</t>
  </si>
  <si>
    <t>CHIPPEWA</t>
  </si>
  <si>
    <t>ATTERBERRY</t>
  </si>
  <si>
    <t>b</t>
  </si>
  <si>
    <t>b fallow (no residue)</t>
  </si>
  <si>
    <t xml:space="preserve">              Contoured (C)</t>
  </si>
  <si>
    <t>CLARK</t>
  </si>
  <si>
    <t>AU GRES</t>
  </si>
  <si>
    <t>c</t>
  </si>
  <si>
    <t>c cultivated &lt; 20% Res.</t>
  </si>
  <si>
    <t>COLUMBIA</t>
  </si>
  <si>
    <t>AUGRES VARIANT</t>
  </si>
  <si>
    <t>d</t>
  </si>
  <si>
    <t>d cultivated &gt; 20% Res.</t>
  </si>
  <si>
    <t xml:space="preserve">              C + Crop residue</t>
  </si>
  <si>
    <t>CRAWFORD</t>
  </si>
  <si>
    <t>BANAT</t>
  </si>
  <si>
    <t>e</t>
  </si>
  <si>
    <t>e grass - range, short</t>
  </si>
  <si>
    <t>DANE</t>
  </si>
  <si>
    <t>BELLEVILLE</t>
  </si>
  <si>
    <t>f</t>
  </si>
  <si>
    <t>f grass, dense</t>
  </si>
  <si>
    <t xml:space="preserve">              Cont &amp; terraced(C&amp;T)</t>
  </si>
  <si>
    <t>DODGE</t>
  </si>
  <si>
    <t>BELLEVUE</t>
  </si>
  <si>
    <t>g</t>
  </si>
  <si>
    <t>g grass, bermuda</t>
  </si>
  <si>
    <t>DOOR</t>
  </si>
  <si>
    <t>BELLEVUE VARIANT</t>
  </si>
  <si>
    <t>h</t>
  </si>
  <si>
    <t>h woods, light</t>
  </si>
  <si>
    <t xml:space="preserve">              C&amp;T + Crop residue</t>
  </si>
  <si>
    <t>DOUGLAS</t>
  </si>
  <si>
    <t>BILLETT</t>
  </si>
  <si>
    <t>I</t>
  </si>
  <si>
    <t>I woods, dense</t>
  </si>
  <si>
    <t>DUNN</t>
  </si>
  <si>
    <t>BONDUEL</t>
  </si>
  <si>
    <t>j</t>
  </si>
  <si>
    <t>j range, natural</t>
  </si>
  <si>
    <t>EAU CLAIRE</t>
  </si>
  <si>
    <t>BONDUEL VARIANT</t>
  </si>
  <si>
    <t>FLORENCE</t>
  </si>
  <si>
    <t>2yr 24hr rain event</t>
  </si>
  <si>
    <t>FOND DU LAC</t>
  </si>
  <si>
    <t>BOROSAPRISTS</t>
  </si>
  <si>
    <t>FOREST</t>
  </si>
  <si>
    <t>BORTH</t>
  </si>
  <si>
    <t>GRANT</t>
  </si>
  <si>
    <t>BOYER</t>
  </si>
  <si>
    <t>GREEN</t>
  </si>
  <si>
    <t>BREMS</t>
  </si>
  <si>
    <t>GREEN LAKE</t>
  </si>
  <si>
    <t>BREVORT</t>
  </si>
  <si>
    <t>IOWA</t>
  </si>
  <si>
    <t>BRIGGSVILLE</t>
  </si>
  <si>
    <t>IRON</t>
  </si>
  <si>
    <t>BRILL</t>
  </si>
  <si>
    <t xml:space="preserve">              Cont &amp; terraces(C&amp;T)</t>
  </si>
  <si>
    <t>JACKSON</t>
  </si>
  <si>
    <t>BROOKSTON</t>
  </si>
  <si>
    <t>JEFFERSON</t>
  </si>
  <si>
    <t>BRUCE</t>
  </si>
  <si>
    <t>JUNEAU</t>
  </si>
  <si>
    <t>CARBONDALE</t>
  </si>
  <si>
    <t>Close-seeded</t>
  </si>
  <si>
    <t xml:space="preserve">              Straight row</t>
  </si>
  <si>
    <t>KENOSHA</t>
  </si>
  <si>
    <t>CASCO</t>
  </si>
  <si>
    <t>or broadcast</t>
  </si>
  <si>
    <t>KEWAUNEE</t>
  </si>
  <si>
    <t>CATHRO</t>
  </si>
  <si>
    <t>legumes or</t>
  </si>
  <si>
    <t xml:space="preserve">              Contoured</t>
  </si>
  <si>
    <t>LA CROSSE</t>
  </si>
  <si>
    <t>CHANNAHON</t>
  </si>
  <si>
    <t>rotation</t>
  </si>
  <si>
    <t>LAFAYETTE</t>
  </si>
  <si>
    <t>CHARLEVOIX</t>
  </si>
  <si>
    <t>meadow</t>
  </si>
  <si>
    <t xml:space="preserve">              Cont &amp; terraced</t>
  </si>
  <si>
    <t>LANGLADE</t>
  </si>
  <si>
    <t>CHIPPENY</t>
  </si>
  <si>
    <t>LINCOLN</t>
  </si>
  <si>
    <t>COLOMA</t>
  </si>
  <si>
    <t xml:space="preserve">OTHER AGRICULTURAL LANDS       </t>
  </si>
  <si>
    <t>MANITOWOC</t>
  </si>
  <si>
    <t>CORMANT</t>
  </si>
  <si>
    <t xml:space="preserve">Pasture, grassland or range </t>
  </si>
  <si>
    <t>MARATHON</t>
  </si>
  <si>
    <t>COSAD</t>
  </si>
  <si>
    <t xml:space="preserve">                            </t>
  </si>
  <si>
    <t>fair</t>
  </si>
  <si>
    <t>MARINETTE</t>
  </si>
  <si>
    <t>CROMWELL</t>
  </si>
  <si>
    <t>MARQUETTE</t>
  </si>
  <si>
    <t>CROSWELL</t>
  </si>
  <si>
    <t xml:space="preserve">Meadow -cont. grass (non grazed) </t>
  </si>
  <si>
    <t>MENOMINEE</t>
  </si>
  <si>
    <t>CUNARD</t>
  </si>
  <si>
    <t xml:space="preserve">Brush - brush, weed, grass mix </t>
  </si>
  <si>
    <t>MILWAUKEE</t>
  </si>
  <si>
    <t>DANCY</t>
  </si>
  <si>
    <t xml:space="preserve">                               </t>
  </si>
  <si>
    <t>MONROE</t>
  </si>
  <si>
    <t>DAWSON</t>
  </si>
  <si>
    <t>OCONTO</t>
  </si>
  <si>
    <t>DEFORD</t>
  </si>
  <si>
    <t xml:space="preserve">Woods - grass combination </t>
  </si>
  <si>
    <t>ONEIDA</t>
  </si>
  <si>
    <t xml:space="preserve">                          </t>
  </si>
  <si>
    <t>OUTAGAMIE</t>
  </si>
  <si>
    <t>DOLPH</t>
  </si>
  <si>
    <t>OZAUKEE</t>
  </si>
  <si>
    <t>DRESDEN</t>
  </si>
  <si>
    <t xml:space="preserve">Woods </t>
  </si>
  <si>
    <t>PEPIN</t>
  </si>
  <si>
    <t>DRESDEN VARIANT</t>
  </si>
  <si>
    <t xml:space="preserve">      </t>
  </si>
  <si>
    <t>PIERCE</t>
  </si>
  <si>
    <t>DUEL</t>
  </si>
  <si>
    <t>POLK</t>
  </si>
  <si>
    <t>DUEL VARIANT</t>
  </si>
  <si>
    <t xml:space="preserve">Farmsteads </t>
  </si>
  <si>
    <t>PORTAGE</t>
  </si>
  <si>
    <t>DUNNVILLE</t>
  </si>
  <si>
    <t>FULLY DEVELOPED URBAN AREAS (Veg Established)</t>
  </si>
  <si>
    <t>PRICE</t>
  </si>
  <si>
    <t>DUNNVILLE VARIAN</t>
  </si>
  <si>
    <t xml:space="preserve">Open space (Lawns,parks etc.)   </t>
  </si>
  <si>
    <t>RACINE</t>
  </si>
  <si>
    <t>EDWARDS</t>
  </si>
  <si>
    <t xml:space="preserve">   Poor condition; grass cover &lt; 50%</t>
  </si>
  <si>
    <t>RICHLAND</t>
  </si>
  <si>
    <t>ELDERON</t>
  </si>
  <si>
    <t xml:space="preserve">   Fair condition; grass cover 50% to 75 %</t>
  </si>
  <si>
    <t>ROCK</t>
  </si>
  <si>
    <t xml:space="preserve">   Good condition; grass cover &gt; 75%</t>
  </si>
  <si>
    <t>RUSK</t>
  </si>
  <si>
    <t>ELEVA</t>
  </si>
  <si>
    <t xml:space="preserve">Impervious Areas      </t>
  </si>
  <si>
    <t>ST CROIX</t>
  </si>
  <si>
    <t>EMMERT</t>
  </si>
  <si>
    <t xml:space="preserve">  Paved parking lots, roofs, driveways</t>
  </si>
  <si>
    <t>SAUK</t>
  </si>
  <si>
    <t>EMMET</t>
  </si>
  <si>
    <t xml:space="preserve">  Streets and roads      </t>
  </si>
  <si>
    <t>SAWYER</t>
  </si>
  <si>
    <t>ENSLEY</t>
  </si>
  <si>
    <t xml:space="preserve">      Paved; curbs and storm sewers</t>
  </si>
  <si>
    <t/>
  </si>
  <si>
    <t>SHAWANO</t>
  </si>
  <si>
    <t>FABIUS</t>
  </si>
  <si>
    <t xml:space="preserve">     Paved; open ditches (w/right-of-way)</t>
  </si>
  <si>
    <t>SHEBOYGAN</t>
  </si>
  <si>
    <t>FAIRPORT</t>
  </si>
  <si>
    <t xml:space="preserve">     Gravel (w/ right-of-way)</t>
  </si>
  <si>
    <t>TAYLOR</t>
  </si>
  <si>
    <t>FENCE</t>
  </si>
  <si>
    <t xml:space="preserve">     Dirt   (w/ right-of-way)</t>
  </si>
  <si>
    <t>TREMPEALEAU</t>
  </si>
  <si>
    <t>FISK</t>
  </si>
  <si>
    <t>Urban Districts</t>
  </si>
  <si>
    <t>Avg % impervious</t>
  </si>
  <si>
    <t>VERNON</t>
  </si>
  <si>
    <t>FLUVAQUENTS</t>
  </si>
  <si>
    <t xml:space="preserve">     Commercial &amp; business</t>
  </si>
  <si>
    <t>VILAS</t>
  </si>
  <si>
    <t>FORADA</t>
  </si>
  <si>
    <t xml:space="preserve">     Industrial</t>
  </si>
  <si>
    <t>WALWORTH</t>
  </si>
  <si>
    <t>FORDUM</t>
  </si>
  <si>
    <t>Residential districts by average lot size</t>
  </si>
  <si>
    <t>WASHBURN</t>
  </si>
  <si>
    <t>FOX</t>
  </si>
  <si>
    <t xml:space="preserve">   1/8 acre (town houses)</t>
  </si>
  <si>
    <t>WASHINGTON</t>
  </si>
  <si>
    <t>FRIENDSHIP</t>
  </si>
  <si>
    <t xml:space="preserve">   1/4 acre</t>
  </si>
  <si>
    <t>WAUKESHA</t>
  </si>
  <si>
    <t>GAASTRA</t>
  </si>
  <si>
    <t xml:space="preserve">   1/3 acre</t>
  </si>
  <si>
    <t>WAUPACA</t>
  </si>
  <si>
    <t>GOODMAN</t>
  </si>
  <si>
    <t xml:space="preserve">   1/2 acre</t>
  </si>
  <si>
    <t>WAUSHARA</t>
  </si>
  <si>
    <t>GRANBY</t>
  </si>
  <si>
    <t xml:space="preserve">     1 acre</t>
  </si>
  <si>
    <t>WINNEBAGO</t>
  </si>
  <si>
    <t>GRAYS</t>
  </si>
  <si>
    <t xml:space="preserve">     2 acre</t>
  </si>
  <si>
    <t>WOOD</t>
  </si>
  <si>
    <t>GRELLTON</t>
  </si>
  <si>
    <t>DEVELOPING URBAN AREA (No Vegetation)</t>
  </si>
  <si>
    <t>HIBBING</t>
  </si>
  <si>
    <t xml:space="preserve">Newly graded area (pervious only) </t>
  </si>
  <si>
    <t>HOCHHEIM</t>
  </si>
  <si>
    <t>HORTONVILLE</t>
  </si>
  <si>
    <t>HOUGHTON</t>
  </si>
  <si>
    <t>IOSCO</t>
  </si>
  <si>
    <t>ISHPEMING</t>
  </si>
  <si>
    <t>KARLIN</t>
  </si>
  <si>
    <t>KAUKAUNA</t>
  </si>
  <si>
    <t>KENNAN</t>
  </si>
  <si>
    <t>KEOWNS</t>
  </si>
  <si>
    <t>KERT</t>
  </si>
  <si>
    <t>KEWEENAW</t>
  </si>
  <si>
    <t>KIBBIE</t>
  </si>
  <si>
    <t>KIBBIE VARIANT</t>
  </si>
  <si>
    <t>KIDDER</t>
  </si>
  <si>
    <t>KINGSVILLE</t>
  </si>
  <si>
    <t>KIVA</t>
  </si>
  <si>
    <t>KNOWLES</t>
  </si>
  <si>
    <t>KOLBERG</t>
  </si>
  <si>
    <t>KOLBERG VARIANT</t>
  </si>
  <si>
    <t>KOROBAGO</t>
  </si>
  <si>
    <t>KRANSKI</t>
  </si>
  <si>
    <t>LAMARTINE</t>
  </si>
  <si>
    <t>LEOLA</t>
  </si>
  <si>
    <t>LEROY</t>
  </si>
  <si>
    <t>LOBO</t>
  </si>
  <si>
    <t>LOMIRA</t>
  </si>
  <si>
    <t>LONGRIE</t>
  </si>
  <si>
    <t>LORENZO VARIANT</t>
  </si>
  <si>
    <t>LOXLEY</t>
  </si>
  <si>
    <t>LUPTON</t>
  </si>
  <si>
    <t>LUTZKE</t>
  </si>
  <si>
    <t>MAHTOMEDI</t>
  </si>
  <si>
    <t>MANAWA</t>
  </si>
  <si>
    <t>MANCELONA</t>
  </si>
  <si>
    <t>MANISTEE</t>
  </si>
  <si>
    <t>MARKEY</t>
  </si>
  <si>
    <t>MATHERTON</t>
  </si>
  <si>
    <t>MAYVILLE</t>
  </si>
  <si>
    <t>MCHENRY</t>
  </si>
  <si>
    <t>MEADLAND</t>
  </si>
  <si>
    <t>MECAN</t>
  </si>
  <si>
    <t>MECOSTA</t>
  </si>
  <si>
    <t>MEEHAN</t>
  </si>
  <si>
    <t>MEEHAN VARIANT</t>
  </si>
  <si>
    <t>MENAHGA</t>
  </si>
  <si>
    <t>MENASHA</t>
  </si>
  <si>
    <t>MENOMINEE VARIAN</t>
  </si>
  <si>
    <t>MICHIGAMME</t>
  </si>
  <si>
    <t>MILITARY</t>
  </si>
  <si>
    <t>MINOCQUA</t>
  </si>
  <si>
    <t>MONICO</t>
  </si>
  <si>
    <t>MOQUAH</t>
  </si>
  <si>
    <t>MOROCCO</t>
  </si>
  <si>
    <t>MOSEL</t>
  </si>
  <si>
    <t>MOSINEE</t>
  </si>
  <si>
    <t>MUNDELEIN</t>
  </si>
  <si>
    <t>MUSSEY</t>
  </si>
  <si>
    <t>NADEAU</t>
  </si>
  <si>
    <t>NAHMA</t>
  </si>
  <si>
    <t>NAMUR</t>
  </si>
  <si>
    <t>NAMUR VARIANT</t>
  </si>
  <si>
    <t>NAVAN</t>
  </si>
  <si>
    <t>NEBAGO</t>
  </si>
  <si>
    <t>NEBAGO VARIANT</t>
  </si>
  <si>
    <t>NEENAH</t>
  </si>
  <si>
    <t>NENNO</t>
  </si>
  <si>
    <t>NESTER</t>
  </si>
  <si>
    <t>NICHOLS</t>
  </si>
  <si>
    <t>NORGO VARIANT</t>
  </si>
  <si>
    <t>OAKVILLE</t>
  </si>
  <si>
    <t>OESTERLE</t>
  </si>
  <si>
    <t>OESTERLE VARIANT</t>
  </si>
  <si>
    <t>OGDEN</t>
  </si>
  <si>
    <t>OKEE</t>
  </si>
  <si>
    <t>OMENA</t>
  </si>
  <si>
    <t>OMENA VARIANT</t>
  </si>
  <si>
    <t>OMRO</t>
  </si>
  <si>
    <t>ONAWAY</t>
  </si>
  <si>
    <t>OSHKOSH</t>
  </si>
  <si>
    <t>OSSIAN</t>
  </si>
  <si>
    <t>PADUS</t>
  </si>
  <si>
    <t>PALMS</t>
  </si>
  <si>
    <t>PEARL</t>
  </si>
  <si>
    <t>PELKIE</t>
  </si>
  <si>
    <t>PELLA</t>
  </si>
  <si>
    <t>PENCE</t>
  </si>
  <si>
    <t>PESHEKEE</t>
  </si>
  <si>
    <t>PICKFORD</t>
  </si>
  <si>
    <t>PINCONNING</t>
  </si>
  <si>
    <t>PLAINBO</t>
  </si>
  <si>
    <t>PLAINFIELD</t>
  </si>
  <si>
    <t>PLAINFIELD VARIA</t>
  </si>
  <si>
    <t>PLANO</t>
  </si>
  <si>
    <t>PLOVER</t>
  </si>
  <si>
    <t>POINT</t>
  </si>
  <si>
    <t>POSKIN</t>
  </si>
  <si>
    <t>POY</t>
  </si>
  <si>
    <t>POYGAN</t>
  </si>
  <si>
    <t>PUCHYAN</t>
  </si>
  <si>
    <t>RICHFORD</t>
  </si>
  <si>
    <t>RITCHEY</t>
  </si>
  <si>
    <t>ROCKERS</t>
  </si>
  <si>
    <t>RODMAN</t>
  </si>
  <si>
    <t>RONDEAU</t>
  </si>
  <si>
    <t>ROSCOMMON</t>
  </si>
  <si>
    <t>ROSCOMMON VARIAN</t>
  </si>
  <si>
    <t>ROSHOLT</t>
  </si>
  <si>
    <t>ROSHOLT VARIANT</t>
  </si>
  <si>
    <t>ROUSSEAU</t>
  </si>
  <si>
    <t>ROZELLVILLE</t>
  </si>
  <si>
    <t>RUBICON</t>
  </si>
  <si>
    <t>RUSE</t>
  </si>
  <si>
    <t>SALTER</t>
  </si>
  <si>
    <t>SALTER VARIANT</t>
  </si>
  <si>
    <t>SARONA</t>
  </si>
  <si>
    <t>SAYNER</t>
  </si>
  <si>
    <t>SCOTT LAKE</t>
  </si>
  <si>
    <t>SEBEWA</t>
  </si>
  <si>
    <t>SEELYEVILLE</t>
  </si>
  <si>
    <t>SELKIRK</t>
  </si>
  <si>
    <t>SHERRY</t>
  </si>
  <si>
    <t>SHIOCTON</t>
  </si>
  <si>
    <t>SHIOCTON VARIANT</t>
  </si>
  <si>
    <t>SHULLSBURG VARIA</t>
  </si>
  <si>
    <t>SISSON</t>
  </si>
  <si>
    <t>SOLONA</t>
  </si>
  <si>
    <t>SPARTA</t>
  </si>
  <si>
    <t>ST. CHARLES</t>
  </si>
  <si>
    <t>SUAMICO</t>
  </si>
  <si>
    <t>SUMMERVILLE</t>
  </si>
  <si>
    <t>SUMMERVILLE VARI</t>
  </si>
  <si>
    <t>SYMCO</t>
  </si>
  <si>
    <t>SYMCO VARIANT</t>
  </si>
  <si>
    <t>TEDROW</t>
  </si>
  <si>
    <t>THERESA</t>
  </si>
  <si>
    <t>TILLEDA</t>
  </si>
  <si>
    <t>TILLEDA VARIANT</t>
  </si>
  <si>
    <t>TUSTIN</t>
  </si>
  <si>
    <t>UDIFLUVENTS</t>
  </si>
  <si>
    <t>UDORTHENTS</t>
  </si>
  <si>
    <t>VESPER</t>
  </si>
  <si>
    <t>WAINOLA</t>
  </si>
  <si>
    <t>WASEPI</t>
  </si>
  <si>
    <t>WAUSEON</t>
  </si>
  <si>
    <t>WAYMOR</t>
  </si>
  <si>
    <t>WEGA</t>
  </si>
  <si>
    <t>WHALAN</t>
  </si>
  <si>
    <t>WHALAN VARIANT</t>
  </si>
  <si>
    <t>WHEATLEY</t>
  </si>
  <si>
    <t>WILL</t>
  </si>
  <si>
    <t>WILLETTE</t>
  </si>
  <si>
    <t>WINNECONNE</t>
  </si>
  <si>
    <t>WINTERFIELD</t>
  </si>
  <si>
    <t>WORCESTER</t>
  </si>
  <si>
    <t>WYOCENA</t>
  </si>
  <si>
    <t>WYOCENA VARIANT</t>
  </si>
  <si>
    <t>YAHARA</t>
  </si>
  <si>
    <t>YAHARA VARIANT</t>
  </si>
  <si>
    <t>ZITTAU</t>
  </si>
  <si>
    <t>ZITTAU VARIANT</t>
  </si>
  <si>
    <t>ZURICH</t>
  </si>
  <si>
    <t>See RCN tab below</t>
  </si>
  <si>
    <t>for typical values</t>
  </si>
  <si>
    <t>where these rainfall events came from.</t>
  </si>
  <si>
    <t>(click tab below) for an explanation of</t>
  </si>
  <si>
    <t xml:space="preserve">See cells A100 - A114 of "BARNY Musings"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</si>
</sst>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mm/dd/yy_)"/>
    <numFmt numFmtId="167" formatCode="0.0000_)"/>
    <numFmt numFmtId="168" formatCode="0.000_)"/>
    <numFmt numFmtId="169" formatCode="0_)"/>
    <numFmt numFmtId="170" formatCode="0.00_)"/>
    <numFmt numFmtId="171" formatCode="0.0_)"/>
    <numFmt numFmtId="172" formatCode="hh:mm:ss\ AM/PM_)"/>
    <numFmt numFmtId="173" formatCode="#,##0.0000"/>
    <numFmt numFmtId="174" formatCode="0.000000"/>
    <numFmt numFmtId="175" formatCode="0.0000"/>
    <numFmt numFmtId="176" formatCode="0.000"/>
    <numFmt numFmtId="177" formatCode="m/d/yy"/>
    <numFmt numFmtId="178" formatCode="#,##0.000000000000"/>
    <numFmt numFmtId="179" formatCode="mmm\-yy_)"/>
    <numFmt numFmtId="180" formatCode="0.00000"/>
    <numFmt numFmtId="181" formatCode=";;;"/>
    <numFmt numFmtId="182" formatCode=".000000"/>
    <numFmt numFmtId="183" formatCode="[Red]0"/>
  </numFmts>
  <fonts count="5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Helv"/>
      <family val="0"/>
    </font>
    <font>
      <sz val="11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4"/>
      <name val="Arial"/>
      <family val="2"/>
    </font>
    <font>
      <sz val="11"/>
      <color indexed="16"/>
      <name val="Arial"/>
      <family val="2"/>
    </font>
    <font>
      <sz val="11"/>
      <color indexed="14"/>
      <name val="Arial"/>
      <family val="2"/>
    </font>
    <font>
      <sz val="8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8"/>
      <name val="Helv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165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55" applyBorder="1">
      <alignment/>
      <protection/>
    </xf>
    <xf numFmtId="0" fontId="4" fillId="0" borderId="10" xfId="55" applyBorder="1">
      <alignment/>
      <protection/>
    </xf>
    <xf numFmtId="0" fontId="4" fillId="0" borderId="11" xfId="55" applyBorder="1">
      <alignment/>
      <protection/>
    </xf>
    <xf numFmtId="0" fontId="5" fillId="0" borderId="12" xfId="55" applyFont="1" applyBorder="1">
      <alignment/>
      <protection/>
    </xf>
    <xf numFmtId="0" fontId="4" fillId="0" borderId="12" xfId="55" applyBorder="1">
      <alignment/>
      <protection/>
    </xf>
    <xf numFmtId="0" fontId="4" fillId="0" borderId="0" xfId="55" applyBorder="1" quotePrefix="1">
      <alignment/>
      <protection/>
    </xf>
    <xf numFmtId="0" fontId="0" fillId="0" borderId="0" xfId="55" applyFont="1" applyBorder="1" quotePrefix="1">
      <alignment/>
      <protection/>
    </xf>
    <xf numFmtId="0" fontId="4" fillId="0" borderId="0" xfId="55" applyBorder="1" applyAlignment="1">
      <alignment horizontal="right"/>
      <protection/>
    </xf>
    <xf numFmtId="3" fontId="4" fillId="0" borderId="0" xfId="55" applyNumberFormat="1" applyBorder="1">
      <alignment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>
      <alignment/>
      <protection/>
    </xf>
    <xf numFmtId="0" fontId="0" fillId="0" borderId="0" xfId="55" applyFont="1" applyBorder="1">
      <alignment/>
      <protection/>
    </xf>
    <xf numFmtId="0" fontId="0" fillId="0" borderId="0" xfId="55" applyFont="1" applyFill="1" applyBorder="1">
      <alignment/>
      <protection/>
    </xf>
    <xf numFmtId="3" fontId="4" fillId="0" borderId="13" xfId="55" applyNumberFormat="1" applyFill="1" applyBorder="1">
      <alignment/>
      <protection/>
    </xf>
    <xf numFmtId="0" fontId="4" fillId="0" borderId="0" xfId="57">
      <alignment/>
      <protection/>
    </xf>
    <xf numFmtId="0" fontId="8" fillId="0" borderId="0" xfId="57" applyFont="1">
      <alignment/>
      <protection/>
    </xf>
    <xf numFmtId="0" fontId="4" fillId="33" borderId="14" xfId="57" applyFill="1" applyBorder="1">
      <alignment/>
      <protection/>
    </xf>
    <xf numFmtId="0" fontId="4" fillId="33" borderId="11" xfId="57" applyFill="1" applyBorder="1">
      <alignment/>
      <protection/>
    </xf>
    <xf numFmtId="0" fontId="4" fillId="33" borderId="11" xfId="57" applyFill="1" applyBorder="1" applyAlignment="1">
      <alignment horizontal="left"/>
      <protection/>
    </xf>
    <xf numFmtId="0" fontId="4" fillId="33" borderId="15" xfId="57" applyFill="1" applyBorder="1">
      <alignment/>
      <protection/>
    </xf>
    <xf numFmtId="0" fontId="4" fillId="33" borderId="0" xfId="57" applyFill="1">
      <alignment/>
      <protection/>
    </xf>
    <xf numFmtId="0" fontId="4" fillId="0" borderId="0" xfId="57" applyBorder="1">
      <alignment/>
      <protection/>
    </xf>
    <xf numFmtId="0" fontId="4" fillId="0" borderId="0" xfId="57" applyBorder="1" applyAlignment="1">
      <alignment horizontal="center"/>
      <protection/>
    </xf>
    <xf numFmtId="0" fontId="4" fillId="33" borderId="0" xfId="57" applyFill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77" fontId="6" fillId="0" borderId="0" xfId="57" applyNumberFormat="1" applyFont="1" applyFill="1">
      <alignment/>
      <protection/>
    </xf>
    <xf numFmtId="0" fontId="4" fillId="33" borderId="11" xfId="57" applyFill="1" applyBorder="1" applyAlignment="1">
      <alignment horizontal="center"/>
      <protection/>
    </xf>
    <xf numFmtId="2" fontId="4" fillId="0" borderId="0" xfId="57" applyNumberFormat="1" applyBorder="1">
      <alignment/>
      <protection/>
    </xf>
    <xf numFmtId="0" fontId="4" fillId="33" borderId="16" xfId="57" applyFill="1" applyBorder="1">
      <alignment/>
      <protection/>
    </xf>
    <xf numFmtId="0" fontId="4" fillId="33" borderId="0" xfId="57" applyFill="1" applyBorder="1" applyAlignment="1">
      <alignment horizontal="right"/>
      <protection/>
    </xf>
    <xf numFmtId="0" fontId="4" fillId="33" borderId="0" xfId="57" applyFill="1" applyBorder="1">
      <alignment/>
      <protection/>
    </xf>
    <xf numFmtId="0" fontId="4" fillId="33" borderId="17" xfId="57" applyFill="1" applyBorder="1">
      <alignment/>
      <protection/>
    </xf>
    <xf numFmtId="0" fontId="4" fillId="33" borderId="18" xfId="57" applyFill="1" applyBorder="1">
      <alignment/>
      <protection/>
    </xf>
    <xf numFmtId="0" fontId="4" fillId="33" borderId="10" xfId="57" applyFill="1" applyBorder="1" applyAlignment="1">
      <alignment horizontal="right"/>
      <protection/>
    </xf>
    <xf numFmtId="0" fontId="4" fillId="33" borderId="10" xfId="57" applyFill="1" applyBorder="1">
      <alignment/>
      <protection/>
    </xf>
    <xf numFmtId="0" fontId="4" fillId="33" borderId="19" xfId="57" applyFill="1" applyBorder="1">
      <alignment/>
      <protection/>
    </xf>
    <xf numFmtId="0" fontId="4" fillId="0" borderId="14" xfId="57" applyBorder="1">
      <alignment/>
      <protection/>
    </xf>
    <xf numFmtId="0" fontId="4" fillId="0" borderId="11" xfId="57" applyBorder="1">
      <alignment/>
      <protection/>
    </xf>
    <xf numFmtId="0" fontId="4" fillId="0" borderId="11" xfId="57" applyBorder="1" applyAlignment="1">
      <alignment horizontal="center"/>
      <protection/>
    </xf>
    <xf numFmtId="0" fontId="4" fillId="0" borderId="15" xfId="57" applyBorder="1">
      <alignment/>
      <protection/>
    </xf>
    <xf numFmtId="0" fontId="4" fillId="0" borderId="0" xfId="57" applyAlignment="1">
      <alignment horizontal="right"/>
      <protection/>
    </xf>
    <xf numFmtId="0" fontId="4" fillId="0" borderId="0" xfId="57" applyFill="1" applyBorder="1">
      <alignment/>
      <protection/>
    </xf>
    <xf numFmtId="0" fontId="4" fillId="33" borderId="16" xfId="57" applyFill="1" applyBorder="1" applyAlignment="1">
      <alignment horizontal="center"/>
      <protection/>
    </xf>
    <xf numFmtId="176" fontId="4" fillId="33" borderId="0" xfId="57" applyNumberFormat="1" applyFill="1" applyBorder="1">
      <alignment/>
      <protection/>
    </xf>
    <xf numFmtId="1" fontId="4" fillId="33" borderId="0" xfId="57" applyNumberFormat="1" applyFill="1" applyBorder="1">
      <alignment/>
      <protection/>
    </xf>
    <xf numFmtId="2" fontId="4" fillId="33" borderId="0" xfId="57" applyNumberFormat="1" applyFill="1" applyBorder="1">
      <alignment/>
      <protection/>
    </xf>
    <xf numFmtId="2" fontId="4" fillId="33" borderId="17" xfId="57" applyNumberFormat="1" applyFill="1" applyBorder="1">
      <alignment/>
      <protection/>
    </xf>
    <xf numFmtId="0" fontId="4" fillId="0" borderId="16" xfId="57" applyBorder="1" applyAlignment="1">
      <alignment horizontal="right"/>
      <protection/>
    </xf>
    <xf numFmtId="176" fontId="4" fillId="0" borderId="0" xfId="57" applyNumberFormat="1" applyBorder="1">
      <alignment/>
      <protection/>
    </xf>
    <xf numFmtId="1" fontId="4" fillId="0" borderId="0" xfId="57" applyNumberFormat="1" applyBorder="1">
      <alignment/>
      <protection/>
    </xf>
    <xf numFmtId="2" fontId="4" fillId="34" borderId="17" xfId="57" applyNumberFormat="1" applyFill="1" applyBorder="1">
      <alignment/>
      <protection/>
    </xf>
    <xf numFmtId="0" fontId="4" fillId="33" borderId="16" xfId="57" applyFill="1" applyBorder="1" applyAlignment="1">
      <alignment horizontal="right"/>
      <protection/>
    </xf>
    <xf numFmtId="2" fontId="4" fillId="0" borderId="17" xfId="57" applyNumberFormat="1" applyBorder="1">
      <alignment/>
      <protection/>
    </xf>
    <xf numFmtId="0" fontId="4" fillId="33" borderId="16" xfId="57" applyFill="1" applyBorder="1" applyAlignment="1">
      <alignment horizontal="left"/>
      <protection/>
    </xf>
    <xf numFmtId="2" fontId="4" fillId="34" borderId="0" xfId="57" applyNumberFormat="1" applyFill="1" applyBorder="1">
      <alignment/>
      <protection/>
    </xf>
    <xf numFmtId="0" fontId="4" fillId="33" borderId="18" xfId="57" applyFill="1" applyBorder="1" applyAlignment="1">
      <alignment horizontal="right"/>
      <protection/>
    </xf>
    <xf numFmtId="176" fontId="4" fillId="33" borderId="10" xfId="57" applyNumberFormat="1" applyFill="1" applyBorder="1">
      <alignment/>
      <protection/>
    </xf>
    <xf numFmtId="2" fontId="4" fillId="33" borderId="10" xfId="57" applyNumberFormat="1" applyFill="1" applyBorder="1">
      <alignment/>
      <protection/>
    </xf>
    <xf numFmtId="2" fontId="4" fillId="33" borderId="19" xfId="57" applyNumberFormat="1" applyFill="1" applyBorder="1">
      <alignment/>
      <protection/>
    </xf>
    <xf numFmtId="0" fontId="4" fillId="0" borderId="18" xfId="57" applyBorder="1" applyAlignment="1">
      <alignment horizontal="right"/>
      <protection/>
    </xf>
    <xf numFmtId="0" fontId="4" fillId="0" borderId="10" xfId="57" applyBorder="1">
      <alignment/>
      <protection/>
    </xf>
    <xf numFmtId="176" fontId="4" fillId="0" borderId="10" xfId="57" applyNumberFormat="1" applyBorder="1">
      <alignment/>
      <protection/>
    </xf>
    <xf numFmtId="2" fontId="4" fillId="0" borderId="10" xfId="57" applyNumberFormat="1" applyBorder="1">
      <alignment/>
      <protection/>
    </xf>
    <xf numFmtId="2" fontId="4" fillId="34" borderId="19" xfId="57" applyNumberFormat="1" applyFill="1" applyBorder="1">
      <alignment/>
      <protection/>
    </xf>
    <xf numFmtId="2" fontId="4" fillId="33" borderId="0" xfId="57" applyNumberFormat="1" applyFill="1">
      <alignment/>
      <protection/>
    </xf>
    <xf numFmtId="2" fontId="4" fillId="35" borderId="0" xfId="57" applyNumberFormat="1" applyFill="1">
      <alignment/>
      <protection/>
    </xf>
    <xf numFmtId="0" fontId="4" fillId="33" borderId="15" xfId="57" applyFill="1" applyBorder="1" applyAlignment="1">
      <alignment horizontal="center"/>
      <protection/>
    </xf>
    <xf numFmtId="0" fontId="4" fillId="33" borderId="0" xfId="57" applyFill="1" applyBorder="1" applyAlignment="1">
      <alignment horizontal="center"/>
      <protection/>
    </xf>
    <xf numFmtId="0" fontId="4" fillId="33" borderId="17" xfId="57" applyFill="1" applyBorder="1" applyAlignment="1">
      <alignment horizontal="center"/>
      <protection/>
    </xf>
    <xf numFmtId="0" fontId="4" fillId="0" borderId="0" xfId="57" applyBorder="1" applyAlignment="1">
      <alignment horizontal="right"/>
      <protection/>
    </xf>
    <xf numFmtId="0" fontId="4" fillId="0" borderId="16" xfId="57" applyBorder="1" applyAlignment="1">
      <alignment horizontal="center"/>
      <protection/>
    </xf>
    <xf numFmtId="0" fontId="4" fillId="0" borderId="17" xfId="57" applyBorder="1" applyAlignment="1">
      <alignment horizontal="center"/>
      <protection/>
    </xf>
    <xf numFmtId="0" fontId="4" fillId="0" borderId="0" xfId="57" applyBorder="1" quotePrefix="1">
      <alignment/>
      <protection/>
    </xf>
    <xf numFmtId="0" fontId="4" fillId="35" borderId="0" xfId="57" applyFill="1">
      <alignment/>
      <protection/>
    </xf>
    <xf numFmtId="0" fontId="4" fillId="35" borderId="0" xfId="57" applyFill="1" applyAlignment="1">
      <alignment horizontal="right"/>
      <protection/>
    </xf>
    <xf numFmtId="0" fontId="4" fillId="0" borderId="16" xfId="57" applyBorder="1">
      <alignment/>
      <protection/>
    </xf>
    <xf numFmtId="0" fontId="4" fillId="0" borderId="17" xfId="57" applyBorder="1">
      <alignment/>
      <protection/>
    </xf>
    <xf numFmtId="2" fontId="4" fillId="36" borderId="18" xfId="57" applyNumberFormat="1" applyFill="1" applyBorder="1">
      <alignment/>
      <protection/>
    </xf>
    <xf numFmtId="2" fontId="4" fillId="36" borderId="19" xfId="57" applyNumberFormat="1" applyFill="1" applyBorder="1">
      <alignment/>
      <protection/>
    </xf>
    <xf numFmtId="2" fontId="4" fillId="0" borderId="0" xfId="57" applyNumberFormat="1">
      <alignment/>
      <protection/>
    </xf>
    <xf numFmtId="164" fontId="4" fillId="35" borderId="0" xfId="57" applyNumberFormat="1" applyFill="1" applyAlignment="1">
      <alignment horizontal="right"/>
      <protection/>
    </xf>
    <xf numFmtId="164" fontId="4" fillId="35" borderId="0" xfId="57" applyNumberFormat="1" applyFill="1">
      <alignment/>
      <protection/>
    </xf>
    <xf numFmtId="0" fontId="4" fillId="35" borderId="0" xfId="57" applyFill="1" applyBorder="1" applyAlignment="1">
      <alignment horizontal="center"/>
      <protection/>
    </xf>
    <xf numFmtId="0" fontId="4" fillId="35" borderId="0" xfId="57" applyFill="1" applyBorder="1">
      <alignment/>
      <protection/>
    </xf>
    <xf numFmtId="2" fontId="4" fillId="33" borderId="11" xfId="57" applyNumberFormat="1" applyFill="1" applyBorder="1">
      <alignment/>
      <protection/>
    </xf>
    <xf numFmtId="2" fontId="4" fillId="33" borderId="15" xfId="57" applyNumberFormat="1" applyFill="1" applyBorder="1">
      <alignment/>
      <protection/>
    </xf>
    <xf numFmtId="0" fontId="4" fillId="33" borderId="10" xfId="57" applyFill="1" applyBorder="1" applyAlignment="1">
      <alignment horizontal="center"/>
      <protection/>
    </xf>
    <xf numFmtId="164" fontId="4" fillId="37" borderId="0" xfId="57" applyNumberFormat="1" applyFill="1">
      <alignment/>
      <protection/>
    </xf>
    <xf numFmtId="0" fontId="4" fillId="0" borderId="0" xfId="57" applyFill="1">
      <alignment/>
      <protection/>
    </xf>
    <xf numFmtId="0" fontId="4" fillId="0" borderId="0" xfId="57" applyFill="1" applyBorder="1" applyAlignment="1">
      <alignment horizontal="right"/>
      <protection/>
    </xf>
    <xf numFmtId="176" fontId="4" fillId="0" borderId="0" xfId="57" applyNumberFormat="1" applyFill="1" applyBorder="1">
      <alignment/>
      <protection/>
    </xf>
    <xf numFmtId="2" fontId="4" fillId="0" borderId="0" xfId="57" applyNumberFormat="1" applyFill="1" applyBorder="1">
      <alignment/>
      <protection/>
    </xf>
    <xf numFmtId="0" fontId="0" fillId="0" borderId="0" xfId="57" applyFont="1" applyBorder="1" applyAlignment="1">
      <alignment horizontal="right"/>
      <protection/>
    </xf>
    <xf numFmtId="2" fontId="4" fillId="33" borderId="18" xfId="57" applyNumberFormat="1" applyFill="1" applyBorder="1">
      <alignment/>
      <protection/>
    </xf>
    <xf numFmtId="0" fontId="4" fillId="33" borderId="14" xfId="57" applyFill="1" applyBorder="1" applyAlignment="1">
      <alignment horizontal="right"/>
      <protection/>
    </xf>
    <xf numFmtId="0" fontId="4" fillId="0" borderId="0" xfId="57" applyFill="1" applyBorder="1" applyAlignment="1">
      <alignment horizontal="center"/>
      <protection/>
    </xf>
    <xf numFmtId="2" fontId="4" fillId="0" borderId="0" xfId="57" applyNumberFormat="1" applyFill="1">
      <alignment/>
      <protection/>
    </xf>
    <xf numFmtId="0" fontId="5" fillId="33" borderId="0" xfId="57" applyFont="1" applyFill="1" applyBorder="1">
      <alignment/>
      <protection/>
    </xf>
    <xf numFmtId="2" fontId="4" fillId="0" borderId="0" xfId="57" applyNumberFormat="1" applyBorder="1" applyAlignment="1">
      <alignment horizontal="right"/>
      <protection/>
    </xf>
    <xf numFmtId="0" fontId="4" fillId="37" borderId="0" xfId="57" applyFill="1">
      <alignment/>
      <protection/>
    </xf>
    <xf numFmtId="0" fontId="4" fillId="37" borderId="0" xfId="57" applyFill="1" applyAlignment="1">
      <alignment horizontal="right"/>
      <protection/>
    </xf>
    <xf numFmtId="0" fontId="4" fillId="37" borderId="0" xfId="57" applyFill="1" applyAlignment="1">
      <alignment horizontal="center"/>
      <protection/>
    </xf>
    <xf numFmtId="0" fontId="4" fillId="37" borderId="11" xfId="57" applyFill="1" applyBorder="1" applyAlignment="1">
      <alignment horizontal="right"/>
      <protection/>
    </xf>
    <xf numFmtId="0" fontId="4" fillId="37" borderId="0" xfId="57" applyFill="1" applyBorder="1">
      <alignment/>
      <protection/>
    </xf>
    <xf numFmtId="0" fontId="4" fillId="0" borderId="0" xfId="57" quotePrefix="1">
      <alignment/>
      <protection/>
    </xf>
    <xf numFmtId="2" fontId="4" fillId="37" borderId="0" xfId="57" applyNumberFormat="1" applyFill="1">
      <alignment/>
      <protection/>
    </xf>
    <xf numFmtId="0" fontId="4" fillId="0" borderId="0" xfId="57" applyFont="1">
      <alignment/>
      <protection/>
    </xf>
    <xf numFmtId="0" fontId="6" fillId="33" borderId="10" xfId="57" applyFont="1" applyFill="1" applyBorder="1" applyProtection="1">
      <alignment/>
      <protection locked="0"/>
    </xf>
    <xf numFmtId="0" fontId="4" fillId="0" borderId="0" xfId="57" applyFont="1" applyAlignment="1">
      <alignment horizontal="center"/>
      <protection/>
    </xf>
    <xf numFmtId="3" fontId="4" fillId="0" borderId="10" xfId="55" applyNumberFormat="1" applyBorder="1">
      <alignment/>
      <protection/>
    </xf>
    <xf numFmtId="3" fontId="0" fillId="0" borderId="0" xfId="55" applyNumberFormat="1" applyFont="1" applyBorder="1">
      <alignment/>
      <protection/>
    </xf>
    <xf numFmtId="0" fontId="4" fillId="0" borderId="0" xfId="57" applyFill="1" applyBorder="1" applyProtection="1">
      <alignment/>
      <protection locked="0"/>
    </xf>
    <xf numFmtId="3" fontId="4" fillId="0" borderId="0" xfId="57" applyNumberFormat="1" applyFill="1" applyBorder="1" applyProtection="1">
      <alignment/>
      <protection locked="0"/>
    </xf>
    <xf numFmtId="0" fontId="4" fillId="0" borderId="0" xfId="57" applyFill="1" applyProtection="1">
      <alignment/>
      <protection locked="0"/>
    </xf>
    <xf numFmtId="0" fontId="4" fillId="0" borderId="10" xfId="57" applyFill="1" applyBorder="1" applyProtection="1">
      <alignment/>
      <protection locked="0"/>
    </xf>
    <xf numFmtId="0" fontId="4" fillId="0" borderId="0" xfId="57" applyFont="1" applyAlignment="1">
      <alignment horizontal="right"/>
      <protection/>
    </xf>
    <xf numFmtId="0" fontId="4" fillId="34" borderId="0" xfId="57" applyFill="1">
      <alignment/>
      <protection/>
    </xf>
    <xf numFmtId="0" fontId="4" fillId="34" borderId="0" xfId="57" applyFill="1" applyBorder="1">
      <alignment/>
      <protection/>
    </xf>
    <xf numFmtId="1" fontId="4" fillId="0" borderId="0" xfId="57" applyNumberFormat="1" applyFont="1" applyFill="1">
      <alignment/>
      <protection/>
    </xf>
    <xf numFmtId="0" fontId="4" fillId="38" borderId="0" xfId="57" applyFill="1">
      <alignment/>
      <protection/>
    </xf>
    <xf numFmtId="0" fontId="4" fillId="38" borderId="0" xfId="57" applyFill="1" applyBorder="1">
      <alignment/>
      <protection/>
    </xf>
    <xf numFmtId="0" fontId="4" fillId="35" borderId="0" xfId="57" applyFont="1" applyFill="1" applyBorder="1">
      <alignment/>
      <protection/>
    </xf>
    <xf numFmtId="0" fontId="4" fillId="35" borderId="0" xfId="57" applyFill="1" applyBorder="1" applyAlignment="1">
      <alignment horizontal="right"/>
      <protection/>
    </xf>
    <xf numFmtId="0" fontId="4" fillId="34" borderId="11" xfId="57" applyFill="1" applyBorder="1">
      <alignment/>
      <protection/>
    </xf>
    <xf numFmtId="0" fontId="4" fillId="34" borderId="0" xfId="57" applyFill="1" applyBorder="1" applyAlignment="1">
      <alignment horizontal="right"/>
      <protection/>
    </xf>
    <xf numFmtId="0" fontId="0" fillId="34" borderId="0" xfId="57" applyFont="1" applyFill="1" applyBorder="1">
      <alignment/>
      <protection/>
    </xf>
    <xf numFmtId="0" fontId="4" fillId="35" borderId="10" xfId="57" applyFill="1" applyBorder="1">
      <alignment/>
      <protection/>
    </xf>
    <xf numFmtId="0" fontId="4" fillId="35" borderId="10" xfId="57" applyFill="1" applyBorder="1" applyAlignment="1">
      <alignment horizontal="right"/>
      <protection/>
    </xf>
    <xf numFmtId="0" fontId="0" fillId="38" borderId="0" xfId="0" applyFill="1" applyAlignment="1">
      <alignment/>
    </xf>
    <xf numFmtId="0" fontId="4" fillId="35" borderId="0" xfId="57" applyFont="1" applyFill="1" applyBorder="1" applyAlignment="1">
      <alignment horizontal="right"/>
      <protection/>
    </xf>
    <xf numFmtId="0" fontId="4" fillId="36" borderId="0" xfId="57" applyFont="1" applyFill="1">
      <alignment/>
      <protection/>
    </xf>
    <xf numFmtId="0" fontId="4" fillId="36" borderId="0" xfId="57" applyFill="1">
      <alignment/>
      <protection/>
    </xf>
    <xf numFmtId="0" fontId="4" fillId="36" borderId="0" xfId="57" applyFont="1" applyFill="1" applyAlignment="1">
      <alignment horizontal="right"/>
      <protection/>
    </xf>
    <xf numFmtId="3" fontId="4" fillId="36" borderId="0" xfId="57" applyNumberFormat="1" applyFill="1">
      <alignment/>
      <protection/>
    </xf>
    <xf numFmtId="0" fontId="4" fillId="34" borderId="0" xfId="57" applyFont="1" applyFill="1" applyBorder="1">
      <alignment/>
      <protection/>
    </xf>
    <xf numFmtId="0" fontId="4" fillId="39" borderId="0" xfId="57" applyFill="1">
      <alignment/>
      <protection/>
    </xf>
    <xf numFmtId="0" fontId="4" fillId="39" borderId="0" xfId="57" applyFont="1" applyFill="1" applyAlignment="1">
      <alignment horizontal="center"/>
      <protection/>
    </xf>
    <xf numFmtId="0" fontId="4" fillId="39" borderId="0" xfId="57" applyFill="1" applyBorder="1">
      <alignment/>
      <protection/>
    </xf>
    <xf numFmtId="0" fontId="4" fillId="39" borderId="0" xfId="57" applyFill="1" applyAlignment="1">
      <alignment horizontal="right"/>
      <protection/>
    </xf>
    <xf numFmtId="3" fontId="4" fillId="0" borderId="0" xfId="57" applyNumberFormat="1" applyFill="1" applyProtection="1">
      <alignment/>
      <protection locked="0"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Border="1" applyAlignment="1">
      <alignment horizontal="left"/>
      <protection/>
    </xf>
    <xf numFmtId="0" fontId="4" fillId="34" borderId="0" xfId="57" applyFill="1" applyAlignment="1">
      <alignment horizontal="right"/>
      <protection/>
    </xf>
    <xf numFmtId="0" fontId="4" fillId="34" borderId="0" xfId="57" applyFont="1" applyFill="1" applyBorder="1" applyAlignment="1">
      <alignment horizontal="right"/>
      <protection/>
    </xf>
    <xf numFmtId="1" fontId="4" fillId="34" borderId="0" xfId="57" applyNumberFormat="1" applyFill="1" applyBorder="1" applyAlignment="1">
      <alignment horizontal="center"/>
      <protection/>
    </xf>
    <xf numFmtId="3" fontId="4" fillId="34" borderId="0" xfId="57" applyNumberFormat="1" applyFill="1" applyProtection="1">
      <alignment/>
      <protection/>
    </xf>
    <xf numFmtId="0" fontId="0" fillId="34" borderId="0" xfId="57" applyFont="1" applyFill="1" applyAlignment="1">
      <alignment horizontal="right"/>
      <protection/>
    </xf>
    <xf numFmtId="0" fontId="4" fillId="34" borderId="0" xfId="57" applyFill="1" applyBorder="1" applyAlignment="1">
      <alignment horizontal="left"/>
      <protection/>
    </xf>
    <xf numFmtId="0" fontId="4" fillId="34" borderId="0" xfId="57" applyFill="1" applyBorder="1" applyAlignment="1">
      <alignment horizontal="center"/>
      <protection/>
    </xf>
    <xf numFmtId="0" fontId="4" fillId="36" borderId="10" xfId="57" applyFill="1" applyBorder="1">
      <alignment/>
      <protection/>
    </xf>
    <xf numFmtId="0" fontId="4" fillId="0" borderId="0" xfId="57" applyFont="1" applyFill="1" applyAlignment="1">
      <alignment horizontal="right"/>
      <protection/>
    </xf>
    <xf numFmtId="0" fontId="4" fillId="33" borderId="0" xfId="57" applyFont="1" applyFill="1" applyBorder="1">
      <alignment/>
      <protection/>
    </xf>
    <xf numFmtId="0" fontId="4" fillId="33" borderId="0" xfId="57" applyFont="1" applyFill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4" fillId="33" borderId="0" xfId="57" applyFont="1" applyFill="1" applyBorder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3" fontId="4" fillId="0" borderId="0" xfId="57" applyNumberFormat="1">
      <alignment/>
      <protection/>
    </xf>
    <xf numFmtId="1" fontId="4" fillId="0" borderId="0" xfId="57" applyNumberFormat="1">
      <alignment/>
      <protection/>
    </xf>
    <xf numFmtId="1" fontId="4" fillId="33" borderId="16" xfId="57" applyNumberFormat="1" applyFill="1" applyBorder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center"/>
      <protection/>
    </xf>
    <xf numFmtId="0" fontId="4" fillId="35" borderId="16" xfId="57" applyFill="1" applyBorder="1">
      <alignment/>
      <protection/>
    </xf>
    <xf numFmtId="0" fontId="4" fillId="35" borderId="17" xfId="57" applyFill="1" applyBorder="1">
      <alignment/>
      <protection/>
    </xf>
    <xf numFmtId="0" fontId="4" fillId="35" borderId="18" xfId="57" applyFont="1" applyFill="1" applyBorder="1" applyAlignment="1">
      <alignment horizontal="center"/>
      <protection/>
    </xf>
    <xf numFmtId="0" fontId="4" fillId="35" borderId="19" xfId="57" applyFill="1" applyBorder="1">
      <alignment/>
      <protection/>
    </xf>
    <xf numFmtId="0" fontId="10" fillId="36" borderId="0" xfId="57" applyFont="1" applyFill="1" applyAlignment="1">
      <alignment horizontal="right"/>
      <protection/>
    </xf>
    <xf numFmtId="0" fontId="10" fillId="36" borderId="0" xfId="57" applyFont="1" applyFill="1">
      <alignment/>
      <protection/>
    </xf>
    <xf numFmtId="3" fontId="10" fillId="36" borderId="0" xfId="57" applyNumberFormat="1" applyFont="1" applyFill="1">
      <alignment/>
      <protection/>
    </xf>
    <xf numFmtId="0" fontId="5" fillId="39" borderId="0" xfId="57" applyFont="1" applyFill="1">
      <alignment/>
      <protection/>
    </xf>
    <xf numFmtId="0" fontId="4" fillId="39" borderId="0" xfId="57" applyFont="1" applyFill="1">
      <alignment/>
      <protection/>
    </xf>
    <xf numFmtId="0" fontId="9" fillId="39" borderId="0" xfId="57" applyFont="1" applyFill="1">
      <alignment/>
      <protection/>
    </xf>
    <xf numFmtId="164" fontId="4" fillId="39" borderId="13" xfId="57" applyNumberFormat="1" applyFill="1" applyBorder="1">
      <alignment/>
      <protection/>
    </xf>
    <xf numFmtId="0" fontId="4" fillId="33" borderId="0" xfId="57" applyFont="1" applyFill="1" applyAlignment="1">
      <alignment horizontal="right"/>
      <protection/>
    </xf>
    <xf numFmtId="0" fontId="1" fillId="33" borderId="0" xfId="57" applyFont="1" applyFill="1" applyProtection="1">
      <alignment/>
      <protection locked="0"/>
    </xf>
    <xf numFmtId="0" fontId="8" fillId="33" borderId="0" xfId="57" applyFont="1" applyFill="1" applyBorder="1">
      <alignment/>
      <protection/>
    </xf>
    <xf numFmtId="0" fontId="10" fillId="33" borderId="0" xfId="57" applyFont="1" applyFill="1">
      <alignment/>
      <protection/>
    </xf>
    <xf numFmtId="0" fontId="4" fillId="38" borderId="0" xfId="55" applyFill="1" applyBorder="1">
      <alignment/>
      <protection/>
    </xf>
    <xf numFmtId="0" fontId="8" fillId="38" borderId="0" xfId="57" applyFont="1" applyFill="1" applyAlignment="1">
      <alignment horizontal="right"/>
      <protection/>
    </xf>
    <xf numFmtId="0" fontId="4" fillId="39" borderId="0" xfId="57" applyFill="1" applyBorder="1" applyAlignment="1">
      <alignment horizontal="right"/>
      <protection/>
    </xf>
    <xf numFmtId="0" fontId="2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4" fillId="38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/>
      <protection locked="0"/>
    </xf>
    <xf numFmtId="0" fontId="4" fillId="38" borderId="0" xfId="57" applyFont="1" applyFill="1" applyBorder="1">
      <alignment/>
      <protection/>
    </xf>
    <xf numFmtId="0" fontId="4" fillId="34" borderId="0" xfId="57" applyFont="1" applyFill="1" applyBorder="1" quotePrefix="1">
      <alignment/>
      <protection/>
    </xf>
    <xf numFmtId="0" fontId="4" fillId="34" borderId="0" xfId="57" applyFill="1" applyBorder="1" applyProtection="1">
      <alignment/>
      <protection locked="0"/>
    </xf>
    <xf numFmtId="0" fontId="0" fillId="0" borderId="0" xfId="57" applyFont="1" applyFill="1" applyBorder="1">
      <alignment/>
      <protection/>
    </xf>
    <xf numFmtId="0" fontId="8" fillId="33" borderId="20" xfId="57" applyFont="1" applyFill="1" applyBorder="1">
      <alignment/>
      <protection/>
    </xf>
    <xf numFmtId="0" fontId="8" fillId="33" borderId="21" xfId="57" applyFont="1" applyFill="1" applyBorder="1">
      <alignment/>
      <protection/>
    </xf>
    <xf numFmtId="0" fontId="8" fillId="33" borderId="22" xfId="57" applyFont="1" applyFill="1" applyBorder="1">
      <alignment/>
      <protection/>
    </xf>
    <xf numFmtId="0" fontId="8" fillId="33" borderId="12" xfId="57" applyFont="1" applyFill="1" applyBorder="1">
      <alignment/>
      <protection/>
    </xf>
    <xf numFmtId="0" fontId="8" fillId="33" borderId="23" xfId="57" applyFont="1" applyFill="1" applyBorder="1">
      <alignment/>
      <protection/>
    </xf>
    <xf numFmtId="0" fontId="8" fillId="33" borderId="24" xfId="57" applyFont="1" applyFill="1" applyBorder="1">
      <alignment/>
      <protection/>
    </xf>
    <xf numFmtId="0" fontId="8" fillId="33" borderId="25" xfId="57" applyFont="1" applyFill="1" applyBorder="1">
      <alignment/>
      <protection/>
    </xf>
    <xf numFmtId="0" fontId="8" fillId="33" borderId="26" xfId="57" applyFont="1" applyFill="1" applyBorder="1">
      <alignment/>
      <protection/>
    </xf>
    <xf numFmtId="164" fontId="4" fillId="36" borderId="14" xfId="57" applyNumberFormat="1" applyFill="1" applyBorder="1">
      <alignment/>
      <protection/>
    </xf>
    <xf numFmtId="0" fontId="4" fillId="36" borderId="11" xfId="57" applyFont="1" applyFill="1" applyBorder="1">
      <alignment/>
      <protection/>
    </xf>
    <xf numFmtId="0" fontId="4" fillId="36" borderId="15" xfId="57" applyFill="1" applyBorder="1">
      <alignment/>
      <protection/>
    </xf>
    <xf numFmtId="0" fontId="4" fillId="36" borderId="18" xfId="57" applyFont="1" applyFill="1" applyBorder="1">
      <alignment/>
      <protection/>
    </xf>
    <xf numFmtId="0" fontId="4" fillId="36" borderId="19" xfId="57" applyFill="1" applyBorder="1">
      <alignment/>
      <protection/>
    </xf>
    <xf numFmtId="0" fontId="4" fillId="34" borderId="11" xfId="57" applyFill="1" applyBorder="1" applyAlignment="1">
      <alignment horizontal="center"/>
      <protection/>
    </xf>
    <xf numFmtId="0" fontId="0" fillId="0" borderId="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center"/>
      <protection/>
    </xf>
    <xf numFmtId="0" fontId="1" fillId="0" borderId="0" xfId="57" applyFont="1" applyFill="1" applyProtection="1">
      <alignment/>
      <protection locked="0"/>
    </xf>
    <xf numFmtId="0" fontId="10" fillId="0" borderId="0" xfId="57" applyFont="1" applyFill="1">
      <alignment/>
      <protection/>
    </xf>
    <xf numFmtId="0" fontId="8" fillId="0" borderId="0" xfId="57" applyFont="1" applyFill="1" applyBorder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57" applyFont="1" applyAlignment="1">
      <alignment horizontal="center"/>
      <protection/>
    </xf>
    <xf numFmtId="0" fontId="5" fillId="0" borderId="0" xfId="57" applyFont="1">
      <alignment/>
      <protection/>
    </xf>
    <xf numFmtId="0" fontId="4" fillId="33" borderId="16" xfId="57" applyFont="1" applyFill="1" applyBorder="1">
      <alignment/>
      <protection/>
    </xf>
    <xf numFmtId="0" fontId="4" fillId="33" borderId="18" xfId="57" applyFont="1" applyFill="1" applyBorder="1">
      <alignment/>
      <protection/>
    </xf>
    <xf numFmtId="0" fontId="4" fillId="0" borderId="0" xfId="55" applyFill="1" applyBorder="1">
      <alignment/>
      <protection/>
    </xf>
    <xf numFmtId="0" fontId="0" fillId="0" borderId="0" xfId="55" applyFont="1" applyFill="1" applyBorder="1" quotePrefix="1">
      <alignment/>
      <protection/>
    </xf>
    <xf numFmtId="3" fontId="7" fillId="0" borderId="0" xfId="55" applyNumberFormat="1" applyFont="1" applyFill="1" applyBorder="1">
      <alignment/>
      <protection/>
    </xf>
    <xf numFmtId="0" fontId="4" fillId="0" borderId="10" xfId="55" applyFill="1" applyBorder="1">
      <alignment/>
      <protection/>
    </xf>
    <xf numFmtId="0" fontId="4" fillId="0" borderId="10" xfId="55" applyFill="1" applyBorder="1" applyAlignment="1">
      <alignment horizontal="right"/>
      <protection/>
    </xf>
    <xf numFmtId="0" fontId="4" fillId="0" borderId="10" xfId="55" applyFill="1" applyBorder="1" applyProtection="1">
      <alignment/>
      <protection locked="0"/>
    </xf>
    <xf numFmtId="0" fontId="0" fillId="0" borderId="10" xfId="55" applyFont="1" applyFill="1" applyBorder="1">
      <alignment/>
      <protection/>
    </xf>
    <xf numFmtId="165" fontId="4" fillId="0" borderId="0" xfId="56" applyFont="1">
      <alignment/>
      <protection/>
    </xf>
    <xf numFmtId="0" fontId="4" fillId="0" borderId="0" xfId="55" applyFont="1">
      <alignment/>
      <protection/>
    </xf>
    <xf numFmtId="0" fontId="4" fillId="0" borderId="0" xfId="57" applyFont="1">
      <alignment/>
      <protection/>
    </xf>
    <xf numFmtId="165" fontId="4" fillId="0" borderId="0" xfId="56" applyFont="1" applyAlignment="1" quotePrefix="1">
      <alignment horizontal="center"/>
      <protection/>
    </xf>
    <xf numFmtId="0" fontId="4" fillId="0" borderId="0" xfId="55" applyFont="1" applyBorder="1">
      <alignment/>
      <protection/>
    </xf>
    <xf numFmtId="0" fontId="4" fillId="0" borderId="12" xfId="55" applyFont="1" applyBorder="1">
      <alignment/>
      <protection/>
    </xf>
    <xf numFmtId="0" fontId="4" fillId="0" borderId="0" xfId="55" applyFont="1" applyBorder="1" quotePrefix="1">
      <alignment/>
      <protection/>
    </xf>
    <xf numFmtId="16" fontId="4" fillId="0" borderId="0" xfId="57" applyNumberFormat="1" applyFont="1" applyAlignment="1">
      <alignment horizontal="center"/>
      <protection/>
    </xf>
    <xf numFmtId="165" fontId="4" fillId="0" borderId="11" xfId="56" applyFont="1" applyBorder="1">
      <alignment/>
      <protection/>
    </xf>
    <xf numFmtId="0" fontId="4" fillId="0" borderId="11" xfId="55" applyFont="1" applyBorder="1">
      <alignment/>
      <protection/>
    </xf>
    <xf numFmtId="0" fontId="4" fillId="0" borderId="11" xfId="57" applyFont="1" applyBorder="1">
      <alignment/>
      <protection/>
    </xf>
    <xf numFmtId="165" fontId="4" fillId="0" borderId="0" xfId="56" applyFont="1" applyBorder="1" applyAlignment="1" quotePrefix="1">
      <alignment horizontal="center"/>
      <protection/>
    </xf>
    <xf numFmtId="165" fontId="4" fillId="0" borderId="0" xfId="56" applyFont="1" applyBorder="1">
      <alignment/>
      <protection/>
    </xf>
    <xf numFmtId="0" fontId="4" fillId="0" borderId="0" xfId="57" applyFont="1" applyBorder="1">
      <alignment/>
      <protection/>
    </xf>
    <xf numFmtId="3" fontId="4" fillId="0" borderId="0" xfId="55" applyNumberFormat="1" applyFill="1" applyBorder="1" applyProtection="1">
      <alignment/>
      <protection/>
    </xf>
    <xf numFmtId="0" fontId="4" fillId="35" borderId="16" xfId="57" applyFont="1" applyFill="1" applyBorder="1">
      <alignment/>
      <protection/>
    </xf>
    <xf numFmtId="0" fontId="4" fillId="35" borderId="14" xfId="57" applyFont="1" applyFill="1" applyBorder="1">
      <alignment/>
      <protection/>
    </xf>
    <xf numFmtId="0" fontId="4" fillId="35" borderId="11" xfId="57" applyFill="1" applyBorder="1">
      <alignment/>
      <protection/>
    </xf>
    <xf numFmtId="0" fontId="4" fillId="35" borderId="15" xfId="57" applyFill="1" applyBorder="1">
      <alignment/>
      <protection/>
    </xf>
    <xf numFmtId="3" fontId="4" fillId="0" borderId="13" xfId="55" applyNumberFormat="1" applyFill="1" applyBorder="1" applyProtection="1">
      <alignment/>
      <protection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" fillId="35" borderId="18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635-Buffer 8-29-01" xfId="55"/>
    <cellStyle name="Normal_635-OverlandFlow 8-30-01" xfId="56"/>
    <cellStyle name="Normal_BARNY  2-13-0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552450</xdr:colOff>
      <xdr:row>36</xdr:row>
      <xdr:rowOff>123825</xdr:rowOff>
    </xdr:from>
    <xdr:to>
      <xdr:col>8</xdr:col>
      <xdr:colOff>628650</xdr:colOff>
      <xdr:row>43</xdr:row>
      <xdr:rowOff>0</xdr:rowOff>
    </xdr:to>
    <xdr:sp>
      <xdr:nvSpPr>
        <xdr:cNvPr id="1" name="Line 331"/>
        <xdr:cNvSpPr>
          <a:spLocks/>
        </xdr:cNvSpPr>
      </xdr:nvSpPr>
      <xdr:spPr>
        <a:xfrm flipV="1">
          <a:off x="5353050" y="6696075"/>
          <a:ext cx="762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0</xdr:rowOff>
    </xdr:from>
    <xdr:to>
      <xdr:col>8</xdr:col>
      <xdr:colOff>619125</xdr:colOff>
      <xdr:row>36</xdr:row>
      <xdr:rowOff>114300</xdr:rowOff>
    </xdr:to>
    <xdr:sp>
      <xdr:nvSpPr>
        <xdr:cNvPr id="2" name="Line 332"/>
        <xdr:cNvSpPr>
          <a:spLocks/>
        </xdr:cNvSpPr>
      </xdr:nvSpPr>
      <xdr:spPr>
        <a:xfrm flipH="1" flipV="1">
          <a:off x="2828925" y="5486400"/>
          <a:ext cx="327660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23</xdr:row>
      <xdr:rowOff>85725</xdr:rowOff>
    </xdr:from>
    <xdr:to>
      <xdr:col>6</xdr:col>
      <xdr:colOff>619125</xdr:colOff>
      <xdr:row>23</xdr:row>
      <xdr:rowOff>85725</xdr:rowOff>
    </xdr:to>
    <xdr:sp>
      <xdr:nvSpPr>
        <xdr:cNvPr id="3" name="Line 704"/>
        <xdr:cNvSpPr>
          <a:spLocks/>
        </xdr:cNvSpPr>
      </xdr:nvSpPr>
      <xdr:spPr>
        <a:xfrm flipH="1">
          <a:off x="4267200" y="43053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24</xdr:row>
      <xdr:rowOff>85725</xdr:rowOff>
    </xdr:from>
    <xdr:to>
      <xdr:col>6</xdr:col>
      <xdr:colOff>619125</xdr:colOff>
      <xdr:row>24</xdr:row>
      <xdr:rowOff>85725</xdr:rowOff>
    </xdr:to>
    <xdr:sp>
      <xdr:nvSpPr>
        <xdr:cNvPr id="1" name="Line 103"/>
        <xdr:cNvSpPr>
          <a:spLocks/>
        </xdr:cNvSpPr>
      </xdr:nvSpPr>
      <xdr:spPr>
        <a:xfrm flipH="1">
          <a:off x="4267200" y="44862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atcp.wi.gov/LW\USERS\STEVE\EngSS-Master%20Copies\P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H2"/>
      <sheetName val="Floodroute"/>
      <sheetName val="Inline With Stoplogs"/>
      <sheetName val="Stoplog Inlet Weir"/>
      <sheetName val="Pipe Drop"/>
      <sheetName val="Hooded Inlet"/>
      <sheetName val="Perforated Riser"/>
      <sheetName val="Weir"/>
      <sheetName val="Emergency"/>
      <sheetName val="FILL2"/>
      <sheetName val="Help"/>
      <sheetName val="Module1"/>
      <sheetName val="Module7"/>
      <sheetName val="Dialog2"/>
      <sheetName val="Module6"/>
      <sheetName val="Module2"/>
      <sheetName val="Module3"/>
    </sheetNames>
    <sheetDataSet>
      <sheetData sheetId="0">
        <row r="1">
          <cell r="A1" t="str">
            <v>    PEAK DISCHARGE, EFH CHAPTER 2 METHOD, TR55 GRAPHICAL METHOD</v>
          </cell>
          <cell r="J1" t="str">
            <v>VER. 4.99</v>
          </cell>
          <cell r="T1" t="str">
            <v>Unit Peak Discharge Table</v>
          </cell>
          <cell r="AA1">
            <v>1</v>
          </cell>
          <cell r="AB1" t="str">
            <v>Cover Type</v>
          </cell>
          <cell r="AC1" t="str">
            <v>Treatment</v>
          </cell>
          <cell r="AG1" t="str">
            <v>Curve Numbers for Hydrologic Soil Type</v>
          </cell>
          <cell r="AT1" t="str">
            <v>County</v>
          </cell>
          <cell r="AU1">
            <v>1</v>
          </cell>
          <cell r="AV1">
            <v>2</v>
          </cell>
          <cell r="AW1">
            <v>5</v>
          </cell>
          <cell r="AX1">
            <v>10</v>
          </cell>
          <cell r="AY1">
            <v>25</v>
          </cell>
          <cell r="AZ1">
            <v>50</v>
          </cell>
          <cell r="BA1">
            <v>100</v>
          </cell>
          <cell r="BE1" t="str">
            <v>curve</v>
          </cell>
          <cell r="BF1" t="str">
            <v>Ia</v>
          </cell>
          <cell r="BK1" t="str">
            <v>ADRAIN</v>
          </cell>
          <cell r="BL1" t="str">
            <v>A/D</v>
          </cell>
          <cell r="BM1" t="str">
            <v>ADRAIN   -----   A/D</v>
          </cell>
          <cell r="BO1" t="str">
            <v>   -----   </v>
          </cell>
        </row>
        <row r="2">
          <cell r="U2" t="str">
            <v>Ia/P</v>
          </cell>
          <cell r="V2" t="str">
            <v>C1</v>
          </cell>
          <cell r="W2" t="str">
            <v>C2</v>
          </cell>
          <cell r="X2" t="str">
            <v>C3</v>
          </cell>
          <cell r="AA2">
            <v>2</v>
          </cell>
          <cell r="AB2" t="str">
            <v>      TO RESET TABLE, PRESS CTRL E</v>
          </cell>
          <cell r="AG2" t="str">
            <v>A</v>
          </cell>
          <cell r="AJ2" t="str">
            <v>B</v>
          </cell>
          <cell r="AM2" t="str">
            <v>C</v>
          </cell>
          <cell r="AP2" t="str">
            <v>D</v>
          </cell>
          <cell r="AS2">
            <v>1</v>
          </cell>
          <cell r="AT2" t="str">
            <v>ADAMS</v>
          </cell>
          <cell r="AU2">
            <v>2.4</v>
          </cell>
          <cell r="AV2">
            <v>2.8</v>
          </cell>
          <cell r="AW2">
            <v>3.6</v>
          </cell>
          <cell r="AX2">
            <v>4.1</v>
          </cell>
          <cell r="AY2">
            <v>4.7</v>
          </cell>
          <cell r="AZ2">
            <v>5.2</v>
          </cell>
          <cell r="BA2">
            <v>5.9</v>
          </cell>
          <cell r="BE2" t="str">
            <v>number</v>
          </cell>
          <cell r="BF2" t="str">
            <v>(in)</v>
          </cell>
          <cell r="BK2" t="str">
            <v>ALBAN</v>
          </cell>
          <cell r="BL2" t="str">
            <v>B</v>
          </cell>
          <cell r="BM2" t="str">
            <v>ALBAN   -----   B</v>
          </cell>
          <cell r="BO2" t="str">
            <v>   -----   </v>
          </cell>
        </row>
        <row r="3">
          <cell r="A3" t="str">
            <v>CLIENT:</v>
          </cell>
          <cell r="E3" t="str">
            <v>COUNTY:</v>
          </cell>
          <cell r="I3" t="str">
            <v>   DATE:</v>
          </cell>
          <cell r="J3">
            <v>38659.59925451389</v>
          </cell>
          <cell r="T3">
            <v>1</v>
          </cell>
          <cell r="U3">
            <v>0.1</v>
          </cell>
          <cell r="V3">
            <v>2.55323</v>
          </cell>
          <cell r="W3">
            <v>-0.61512</v>
          </cell>
          <cell r="X3">
            <v>-0.16403</v>
          </cell>
          <cell r="AA3">
            <v>3</v>
          </cell>
          <cell r="AB3" t="str">
            <v>CULTIVATED AGRICULTURAL LANDS   </v>
          </cell>
          <cell r="AD3" t="str">
            <v>hydrologic condition</v>
          </cell>
          <cell r="AG3" t="str">
            <v>  </v>
          </cell>
          <cell r="AH3">
            <v>0</v>
          </cell>
          <cell r="AJ3" t="str">
            <v>  </v>
          </cell>
          <cell r="AK3">
            <v>0</v>
          </cell>
          <cell r="AM3" t="str">
            <v>  </v>
          </cell>
          <cell r="AN3">
            <v>0</v>
          </cell>
          <cell r="AP3" t="str">
            <v>  </v>
          </cell>
          <cell r="AQ3">
            <v>0</v>
          </cell>
          <cell r="AS3">
            <v>2</v>
          </cell>
          <cell r="AT3" t="str">
            <v>ASHLAND</v>
          </cell>
          <cell r="AU3">
            <v>2.2</v>
          </cell>
          <cell r="AV3">
            <v>2.6</v>
          </cell>
          <cell r="AW3">
            <v>3.3</v>
          </cell>
          <cell r="AX3">
            <v>3.9</v>
          </cell>
          <cell r="AY3">
            <v>4.3</v>
          </cell>
          <cell r="AZ3">
            <v>5</v>
          </cell>
          <cell r="BA3">
            <v>5.4</v>
          </cell>
          <cell r="BE3">
            <v>40</v>
          </cell>
          <cell r="BF3">
            <v>3</v>
          </cell>
          <cell r="BK3" t="str">
            <v>ALBAN VARIANT</v>
          </cell>
          <cell r="BL3" t="str">
            <v>B</v>
          </cell>
          <cell r="BM3" t="str">
            <v>ALBAN VARIANT   -----   B</v>
          </cell>
          <cell r="BO3" t="str">
            <v>   -----   </v>
          </cell>
        </row>
        <row r="4">
          <cell r="A4" t="str">
            <v>DSN BY:</v>
          </cell>
          <cell r="E4" t="str">
            <v>CHK BY:</v>
          </cell>
          <cell r="F4" t="str">
            <v>_</v>
          </cell>
          <cell r="I4" t="str">
            <v>   DATE:________</v>
          </cell>
          <cell r="T4">
            <v>2</v>
          </cell>
          <cell r="U4">
            <v>0.3</v>
          </cell>
          <cell r="V4">
            <v>2.46532</v>
          </cell>
          <cell r="W4">
            <v>-0.62257</v>
          </cell>
          <cell r="X4">
            <v>-0.11657</v>
          </cell>
          <cell r="AA4">
            <v>4</v>
          </cell>
          <cell r="AB4" t="str">
            <v>Fallow</v>
          </cell>
          <cell r="AC4" t="str">
            <v>              Bare soil</v>
          </cell>
          <cell r="AD4" t="str">
            <v>----</v>
          </cell>
          <cell r="AF4" t="str">
            <v>-----------</v>
          </cell>
          <cell r="AG4" t="str">
            <v>77</v>
          </cell>
          <cell r="AH4">
            <v>0</v>
          </cell>
          <cell r="AI4" t="str">
            <v>-----------</v>
          </cell>
          <cell r="AJ4" t="str">
            <v>86</v>
          </cell>
          <cell r="AK4">
            <v>0</v>
          </cell>
          <cell r="AL4" t="str">
            <v>-----------</v>
          </cell>
          <cell r="AM4" t="str">
            <v>91</v>
          </cell>
          <cell r="AN4">
            <v>0</v>
          </cell>
          <cell r="AO4" t="str">
            <v>-----------</v>
          </cell>
          <cell r="AP4" t="str">
            <v>94</v>
          </cell>
          <cell r="AQ4">
            <v>0</v>
          </cell>
          <cell r="AS4">
            <v>3</v>
          </cell>
          <cell r="AT4" t="str">
            <v>BARRON</v>
          </cell>
          <cell r="AU4">
            <v>2.3</v>
          </cell>
          <cell r="AV4">
            <v>2.7</v>
          </cell>
          <cell r="AW4">
            <v>3.5</v>
          </cell>
          <cell r="AX4">
            <v>4.1</v>
          </cell>
          <cell r="AY4">
            <v>4.6</v>
          </cell>
          <cell r="AZ4">
            <v>5.2</v>
          </cell>
          <cell r="BA4">
            <v>5.8</v>
          </cell>
          <cell r="BE4">
            <v>41</v>
          </cell>
          <cell r="BF4">
            <v>2.878</v>
          </cell>
          <cell r="BK4" t="str">
            <v>ALLENDALE</v>
          </cell>
          <cell r="BL4" t="str">
            <v>B</v>
          </cell>
          <cell r="BM4" t="str">
            <v>ALLENDALE   -----   B</v>
          </cell>
          <cell r="BO4" t="str">
            <v>   -----   </v>
          </cell>
          <cell r="BQ4" t="str">
            <v>-----------</v>
          </cell>
        </row>
        <row r="5">
          <cell r="A5" t="str">
            <v>COMMENTS:</v>
          </cell>
          <cell r="T5">
            <v>3</v>
          </cell>
          <cell r="U5">
            <v>0.35</v>
          </cell>
          <cell r="V5">
            <v>2.41896</v>
          </cell>
          <cell r="W5">
            <v>-0.61594</v>
          </cell>
          <cell r="X5">
            <v>-0.0882</v>
          </cell>
          <cell r="AA5">
            <v>5</v>
          </cell>
          <cell r="AC5" t="str">
            <v>              Crop residue (CR)</v>
          </cell>
          <cell r="AD5" t="str">
            <v>poor</v>
          </cell>
          <cell r="AF5" t="str">
            <v>-----------</v>
          </cell>
          <cell r="AG5" t="str">
            <v>76</v>
          </cell>
          <cell r="AH5">
            <v>0</v>
          </cell>
          <cell r="AI5" t="str">
            <v>-----------</v>
          </cell>
          <cell r="AJ5" t="str">
            <v>85</v>
          </cell>
          <cell r="AK5">
            <v>0</v>
          </cell>
          <cell r="AL5" t="str">
            <v>-----------</v>
          </cell>
          <cell r="AM5" t="str">
            <v>90</v>
          </cell>
          <cell r="AN5">
            <v>0</v>
          </cell>
          <cell r="AO5" t="str">
            <v>-----------</v>
          </cell>
          <cell r="AP5" t="str">
            <v>93</v>
          </cell>
          <cell r="AQ5">
            <v>0</v>
          </cell>
          <cell r="AS5">
            <v>4</v>
          </cell>
          <cell r="AT5" t="str">
            <v>BAYFIELD</v>
          </cell>
          <cell r="AU5">
            <v>2.2</v>
          </cell>
          <cell r="AV5">
            <v>2.6</v>
          </cell>
          <cell r="AW5">
            <v>3.3</v>
          </cell>
          <cell r="AX5">
            <v>3.9</v>
          </cell>
          <cell r="AY5">
            <v>4.4</v>
          </cell>
          <cell r="AZ5">
            <v>5</v>
          </cell>
          <cell r="BA5">
            <v>5.4</v>
          </cell>
          <cell r="BE5">
            <v>42</v>
          </cell>
          <cell r="BF5">
            <v>2.762</v>
          </cell>
          <cell r="BK5" t="str">
            <v>ALPENA</v>
          </cell>
          <cell r="BL5" t="str">
            <v>A</v>
          </cell>
          <cell r="BM5" t="str">
            <v>ALPENA   -----   A</v>
          </cell>
          <cell r="BO5" t="str">
            <v>   -----   </v>
          </cell>
          <cell r="BQ5" t="str">
            <v>-----------</v>
          </cell>
        </row>
        <row r="6">
          <cell r="A6" t="str">
            <v>~</v>
          </cell>
          <cell r="B6" t="str">
            <v>~</v>
          </cell>
          <cell r="C6" t="str">
            <v>~</v>
          </cell>
          <cell r="D6" t="str">
            <v>~</v>
          </cell>
          <cell r="E6" t="str">
            <v>~</v>
          </cell>
          <cell r="F6" t="str">
            <v>~</v>
          </cell>
          <cell r="G6" t="str">
            <v>~</v>
          </cell>
          <cell r="H6" t="str">
            <v>~</v>
          </cell>
          <cell r="I6" t="str">
            <v>~</v>
          </cell>
          <cell r="J6" t="str">
            <v>~</v>
          </cell>
          <cell r="T6">
            <v>4</v>
          </cell>
          <cell r="U6">
            <v>0.4</v>
          </cell>
          <cell r="V6">
            <v>2.36409</v>
          </cell>
          <cell r="W6">
            <v>-0.59857</v>
          </cell>
          <cell r="X6">
            <v>-0.05621</v>
          </cell>
          <cell r="AA6">
            <v>6</v>
          </cell>
          <cell r="AC6" t="str">
            <v>              Crop residue (CR)</v>
          </cell>
          <cell r="AD6" t="str">
            <v>good</v>
          </cell>
          <cell r="AF6" t="str">
            <v>-----------</v>
          </cell>
          <cell r="AG6" t="str">
            <v>74</v>
          </cell>
          <cell r="AH6">
            <v>0</v>
          </cell>
          <cell r="AI6" t="str">
            <v>-----------</v>
          </cell>
          <cell r="AJ6" t="str">
            <v>83</v>
          </cell>
          <cell r="AK6">
            <v>0</v>
          </cell>
          <cell r="AL6" t="str">
            <v>-----------</v>
          </cell>
          <cell r="AM6" t="str">
            <v>88</v>
          </cell>
          <cell r="AN6">
            <v>0</v>
          </cell>
          <cell r="AO6" t="str">
            <v>-----------</v>
          </cell>
          <cell r="AP6" t="str">
            <v>90</v>
          </cell>
          <cell r="AQ6">
            <v>0</v>
          </cell>
          <cell r="AS6">
            <v>5</v>
          </cell>
          <cell r="AT6" t="str">
            <v>BROWN</v>
          </cell>
          <cell r="AU6">
            <v>2.3</v>
          </cell>
          <cell r="AV6">
            <v>2.5</v>
          </cell>
          <cell r="AW6">
            <v>3.2</v>
          </cell>
          <cell r="AX6">
            <v>3.7</v>
          </cell>
          <cell r="AY6">
            <v>4.3</v>
          </cell>
          <cell r="AZ6">
            <v>4.8</v>
          </cell>
          <cell r="BA6">
            <v>5.1</v>
          </cell>
          <cell r="BE6">
            <v>43</v>
          </cell>
          <cell r="BF6">
            <v>2.651</v>
          </cell>
          <cell r="BK6" t="str">
            <v>ALTDORF</v>
          </cell>
          <cell r="BL6" t="str">
            <v>D</v>
          </cell>
          <cell r="BM6" t="str">
            <v>ALTDORF   -----   D</v>
          </cell>
          <cell r="BO6" t="str">
            <v>   -----   </v>
          </cell>
          <cell r="BQ6" t="str">
            <v>-----------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Q151"/>
  <sheetViews>
    <sheetView tabSelected="1" zoomScalePageLayoutView="0" workbookViewId="0" topLeftCell="A1">
      <selection activeCell="A1" sqref="A1"/>
    </sheetView>
  </sheetViews>
  <sheetFormatPr defaultColWidth="10.28125" defaultRowHeight="12.75"/>
  <cols>
    <col min="1" max="13" width="10.28125" style="17" customWidth="1"/>
    <col min="14" max="14" width="12.00390625" style="17" customWidth="1"/>
    <col min="15" max="16384" width="10.28125" style="17" customWidth="1"/>
  </cols>
  <sheetData>
    <row r="1" spans="3:32" ht="18">
      <c r="C1" s="18" t="s">
        <v>273</v>
      </c>
      <c r="I1" s="110"/>
      <c r="K1" s="19" t="s">
        <v>25</v>
      </c>
      <c r="L1" s="20"/>
      <c r="M1" s="21" t="s">
        <v>26</v>
      </c>
      <c r="N1" s="20"/>
      <c r="O1" s="20" t="s">
        <v>27</v>
      </c>
      <c r="P1" s="22"/>
      <c r="Q1" s="23"/>
      <c r="R1" s="23"/>
      <c r="S1" s="23"/>
      <c r="T1" s="23"/>
      <c r="U1" s="23"/>
      <c r="Y1" s="24"/>
      <c r="Z1" s="24"/>
      <c r="AA1" s="25"/>
      <c r="AB1" s="25"/>
      <c r="AC1" s="25"/>
      <c r="AD1" s="24"/>
      <c r="AE1" s="24"/>
      <c r="AF1" s="24"/>
    </row>
    <row r="2" spans="11:32" ht="14.25">
      <c r="K2" s="19" t="s">
        <v>28</v>
      </c>
      <c r="L2" s="20"/>
      <c r="M2" s="20"/>
      <c r="N2" s="20"/>
      <c r="O2" s="20"/>
      <c r="P2" s="22"/>
      <c r="Q2" s="26"/>
      <c r="R2" s="26" t="s">
        <v>29</v>
      </c>
      <c r="S2" s="26" t="s">
        <v>0</v>
      </c>
      <c r="T2" s="23"/>
      <c r="U2" s="23"/>
      <c r="Y2" s="24"/>
      <c r="Z2" s="24"/>
      <c r="AA2" s="25"/>
      <c r="AB2" s="25"/>
      <c r="AC2" s="25"/>
      <c r="AD2" s="24"/>
      <c r="AE2" s="24"/>
      <c r="AF2" s="24"/>
    </row>
    <row r="3" spans="1:32" ht="15">
      <c r="A3" s="27" t="s">
        <v>30</v>
      </c>
      <c r="B3" s="111"/>
      <c r="C3" s="111"/>
      <c r="D3" s="27"/>
      <c r="E3" s="27" t="s">
        <v>31</v>
      </c>
      <c r="F3" s="111"/>
      <c r="G3" s="111"/>
      <c r="H3" s="28" t="s">
        <v>1</v>
      </c>
      <c r="I3" s="29">
        <f ca="1">TODAY()</f>
        <v>42599</v>
      </c>
      <c r="K3" s="19"/>
      <c r="L3" s="20"/>
      <c r="M3" s="20"/>
      <c r="N3" s="30" t="s">
        <v>0</v>
      </c>
      <c r="O3" s="21" t="s">
        <v>32</v>
      </c>
      <c r="P3" s="22"/>
      <c r="Q3" s="23"/>
      <c r="R3" s="23">
        <v>1</v>
      </c>
      <c r="S3" s="23">
        <v>90</v>
      </c>
      <c r="T3" s="23" t="s">
        <v>33</v>
      </c>
      <c r="U3" s="23"/>
      <c r="Y3" s="24"/>
      <c r="Z3" s="24"/>
      <c r="AA3" s="24"/>
      <c r="AB3" s="31"/>
      <c r="AC3" s="31"/>
      <c r="AD3" s="24"/>
      <c r="AE3" s="24"/>
      <c r="AF3" s="24"/>
    </row>
    <row r="4" spans="11:32" ht="14.25">
      <c r="K4" s="32"/>
      <c r="L4" s="33" t="s">
        <v>34</v>
      </c>
      <c r="M4" s="34">
        <f>$D$10</f>
        <v>0</v>
      </c>
      <c r="N4" s="34">
        <v>95</v>
      </c>
      <c r="O4" s="34" t="e">
        <f>N4-(N4-N5)*M5/L8</f>
        <v>#N/A</v>
      </c>
      <c r="P4" s="35"/>
      <c r="Q4" s="23"/>
      <c r="R4" s="23">
        <v>2</v>
      </c>
      <c r="S4" s="23">
        <v>88</v>
      </c>
      <c r="T4" s="23" t="s">
        <v>35</v>
      </c>
      <c r="U4" s="23"/>
      <c r="Y4" s="24"/>
      <c r="Z4" s="24"/>
      <c r="AA4" s="24"/>
      <c r="AB4" s="31"/>
      <c r="AC4" s="31"/>
      <c r="AD4" s="24"/>
      <c r="AE4" s="24"/>
      <c r="AF4" s="24"/>
    </row>
    <row r="5" spans="1:32" ht="14.25">
      <c r="A5" s="24"/>
      <c r="B5" s="24"/>
      <c r="C5" s="24"/>
      <c r="D5" s="73"/>
      <c r="E5" s="24"/>
      <c r="F5" s="24"/>
      <c r="G5" s="24"/>
      <c r="H5" s="24"/>
      <c r="I5" s="45"/>
      <c r="K5" s="36"/>
      <c r="L5" s="37" t="s">
        <v>36</v>
      </c>
      <c r="M5" s="38">
        <f>D11</f>
        <v>0</v>
      </c>
      <c r="N5" s="38" t="e">
        <f>VLOOKUP(C18,R3:S5,2)</f>
        <v>#N/A</v>
      </c>
      <c r="O5" s="38"/>
      <c r="P5" s="39"/>
      <c r="Q5" s="23"/>
      <c r="R5" s="23">
        <v>3</v>
      </c>
      <c r="S5" s="23">
        <v>85</v>
      </c>
      <c r="T5" s="23" t="s">
        <v>37</v>
      </c>
      <c r="U5" s="23"/>
      <c r="Y5" s="24"/>
      <c r="Z5" s="24"/>
      <c r="AA5" s="24"/>
      <c r="AB5" s="31"/>
      <c r="AC5" s="31"/>
      <c r="AD5" s="24"/>
      <c r="AE5" s="24"/>
      <c r="AF5" s="24"/>
    </row>
    <row r="6" spans="1:197" ht="14.25">
      <c r="A6" s="127"/>
      <c r="B6" s="127"/>
      <c r="C6" s="127"/>
      <c r="D6" s="206" t="s">
        <v>3</v>
      </c>
      <c r="E6" s="206" t="s">
        <v>38</v>
      </c>
      <c r="F6" s="127">
        <v>1</v>
      </c>
      <c r="G6" s="127" t="s">
        <v>39</v>
      </c>
      <c r="H6" s="127"/>
      <c r="I6" s="127"/>
      <c r="K6" s="34" t="s">
        <v>40</v>
      </c>
      <c r="L6" s="34"/>
      <c r="M6" s="34"/>
      <c r="N6" s="34"/>
      <c r="O6" s="34"/>
      <c r="P6" s="35"/>
      <c r="Q6" s="23"/>
      <c r="R6" s="23"/>
      <c r="S6" s="23"/>
      <c r="T6" s="23"/>
      <c r="U6" s="23"/>
      <c r="Y6" s="17">
        <f>VLOOKUP(1,$P$73:$S$128,$R$71+1)</f>
        <v>0.26</v>
      </c>
      <c r="Z6" s="17" t="s">
        <v>17</v>
      </c>
      <c r="AB6" s="24"/>
      <c r="AC6" s="24"/>
      <c r="AD6" s="24"/>
      <c r="AG6" s="17">
        <f>VLOOKUP(2,$P$73:$S$128,$R$71+1)</f>
        <v>0.13</v>
      </c>
      <c r="AH6" s="17" t="s">
        <v>17</v>
      </c>
      <c r="AJ6" s="24"/>
      <c r="AK6" s="24"/>
      <c r="AO6" s="17">
        <f>VLOOKUP(3,$P$73:$S$128,$R$71+1)</f>
        <v>0.1</v>
      </c>
      <c r="AP6" s="17" t="s">
        <v>17</v>
      </c>
      <c r="AR6" s="24"/>
      <c r="AS6" s="24"/>
      <c r="AW6" s="17">
        <f>VLOOKUP(4,$P$73:$S$128,$R$71+1)</f>
        <v>0.1</v>
      </c>
      <c r="AX6" s="17" t="s">
        <v>17</v>
      </c>
      <c r="AZ6" s="24"/>
      <c r="BA6" s="24"/>
      <c r="BE6" s="17">
        <f>VLOOKUP(4,$P$73:$S$128,$R$71+1)</f>
        <v>0.1</v>
      </c>
      <c r="BF6" s="17" t="s">
        <v>17</v>
      </c>
      <c r="BH6" s="24"/>
      <c r="BI6" s="24"/>
      <c r="BM6" s="17">
        <f>VLOOKUP(5,$P$73:$S$128,$R$71+1)</f>
        <v>0.2</v>
      </c>
      <c r="BN6" s="17" t="s">
        <v>17</v>
      </c>
      <c r="BP6" s="24"/>
      <c r="BQ6" s="24"/>
      <c r="BU6" s="17">
        <f>VLOOKUP(6,$P$73:$S$128,$R$71+1)</f>
        <v>0.16</v>
      </c>
      <c r="BV6" s="17" t="s">
        <v>17</v>
      </c>
      <c r="BX6" s="24"/>
      <c r="BY6" s="24"/>
      <c r="CC6" s="17">
        <f>VLOOKUP(7,$P$73:$S$128,$R$71+1)</f>
        <v>0.55</v>
      </c>
      <c r="CD6" s="17" t="s">
        <v>17</v>
      </c>
      <c r="CF6" s="24"/>
      <c r="CG6" s="24"/>
      <c r="CK6" s="17">
        <f>VLOOKUP(8,$P$73:$S$128,$R$71+1)</f>
        <v>0.64</v>
      </c>
      <c r="CL6" s="17" t="s">
        <v>17</v>
      </c>
      <c r="CN6" s="24"/>
      <c r="CO6" s="24"/>
      <c r="CS6" s="17">
        <f>VLOOKUP(10,$P$73:$S$128,$R$71+1)</f>
        <v>1.02</v>
      </c>
      <c r="CT6" s="17" t="s">
        <v>17</v>
      </c>
      <c r="CV6" s="24"/>
      <c r="CW6" s="24"/>
      <c r="DA6" s="17">
        <f>VLOOKUP(11,$P$73:$S$128,$R$71+1)</f>
        <v>0.62</v>
      </c>
      <c r="DB6" s="17" t="s">
        <v>17</v>
      </c>
      <c r="DD6" s="24"/>
      <c r="DE6" s="24"/>
      <c r="DI6" s="17">
        <f>VLOOKUP(12,$P$73:$S$128,$R$71+1)</f>
        <v>0.13</v>
      </c>
      <c r="DJ6" s="17" t="s">
        <v>17</v>
      </c>
      <c r="DL6" s="24"/>
      <c r="DM6" s="24"/>
      <c r="DQ6" s="17">
        <f>VLOOKUP(13,$P$73:$S$128,$R$71+1)</f>
        <v>0.17</v>
      </c>
      <c r="DR6" s="17" t="s">
        <v>17</v>
      </c>
      <c r="DT6" s="24"/>
      <c r="DU6" s="24"/>
      <c r="DY6" s="17">
        <f>VLOOKUP(14,$P$73:$S$128,$R$71+1)</f>
        <v>0.1</v>
      </c>
      <c r="DZ6" s="17" t="s">
        <v>17</v>
      </c>
      <c r="EB6" s="24"/>
      <c r="EC6" s="24"/>
      <c r="EG6" s="17">
        <f>VLOOKUP(15,$P$73:$S$128,$R$71+1)</f>
        <v>0.1</v>
      </c>
      <c r="EH6" s="17" t="s">
        <v>17</v>
      </c>
      <c r="EJ6" s="24"/>
      <c r="EK6" s="24"/>
      <c r="EO6" s="17">
        <f>VLOOKUP(16,$P$73:$S$128,$R$71+1)</f>
        <v>0.12</v>
      </c>
      <c r="EP6" s="17" t="s">
        <v>17</v>
      </c>
      <c r="ER6" s="24"/>
      <c r="ES6" s="24"/>
      <c r="EW6" s="17">
        <f>VLOOKUP(17,$P$73:$S$128,$R$71+1)</f>
        <v>0.24</v>
      </c>
      <c r="EX6" s="17" t="s">
        <v>17</v>
      </c>
      <c r="EZ6" s="24"/>
      <c r="FA6" s="24"/>
      <c r="FE6" s="17">
        <f>VLOOKUP(18,$P$73:$S$128,$R$71+1)</f>
        <v>0.1</v>
      </c>
      <c r="FF6" s="17" t="s">
        <v>17</v>
      </c>
      <c r="FH6" s="24"/>
      <c r="FI6" s="24"/>
      <c r="FM6" s="17">
        <f>VLOOKUP(19,$P$73:$S$128,$R$71+1)</f>
        <v>0.11</v>
      </c>
      <c r="FN6" s="17" t="s">
        <v>17</v>
      </c>
      <c r="FP6" s="24"/>
      <c r="FQ6" s="24"/>
      <c r="FU6" s="17">
        <f>VLOOKUP(20,$P$73:$S$128,$R$71+1)</f>
        <v>1.01</v>
      </c>
      <c r="FV6" s="17" t="s">
        <v>17</v>
      </c>
      <c r="FX6" s="24"/>
      <c r="FY6" s="24"/>
      <c r="GC6" s="17">
        <f>VLOOKUP(21,$P$73:$S$128,$R$71+1)</f>
        <v>0.64</v>
      </c>
      <c r="GD6" s="17" t="s">
        <v>17</v>
      </c>
      <c r="GF6" s="24"/>
      <c r="GG6" s="24"/>
      <c r="GK6" s="17">
        <f>VLOOKUP(22,$P$73:$S$128,$R$71+1)</f>
        <v>0.36</v>
      </c>
      <c r="GL6" s="17" t="s">
        <v>17</v>
      </c>
      <c r="GN6" s="24"/>
      <c r="GO6" s="24"/>
    </row>
    <row r="7" spans="1:197" ht="14.25">
      <c r="A7" s="120"/>
      <c r="B7" s="120"/>
      <c r="C7" s="120"/>
      <c r="D7" s="120"/>
      <c r="E7" s="120"/>
      <c r="F7" s="120">
        <v>2</v>
      </c>
      <c r="G7" s="120" t="s">
        <v>41</v>
      </c>
      <c r="H7" s="120"/>
      <c r="I7" s="120"/>
      <c r="K7" s="19"/>
      <c r="L7" s="20" t="s">
        <v>42</v>
      </c>
      <c r="M7" s="20" t="s">
        <v>43</v>
      </c>
      <c r="N7" s="30" t="s">
        <v>0</v>
      </c>
      <c r="O7" s="30" t="s">
        <v>44</v>
      </c>
      <c r="P7" s="20" t="s">
        <v>45</v>
      </c>
      <c r="Q7" s="22" t="s">
        <v>46</v>
      </c>
      <c r="R7" s="23"/>
      <c r="S7" s="23"/>
      <c r="T7" s="23"/>
      <c r="U7" s="23"/>
      <c r="W7" s="40"/>
      <c r="X7" s="41" t="s">
        <v>42</v>
      </c>
      <c r="Y7" s="41" t="s">
        <v>43</v>
      </c>
      <c r="Z7" s="42" t="s">
        <v>0</v>
      </c>
      <c r="AA7" s="42" t="s">
        <v>44</v>
      </c>
      <c r="AB7" s="41" t="s">
        <v>45</v>
      </c>
      <c r="AC7" s="43" t="s">
        <v>46</v>
      </c>
      <c r="AD7" s="25"/>
      <c r="AE7" s="40"/>
      <c r="AF7" s="41" t="s">
        <v>42</v>
      </c>
      <c r="AG7" s="41" t="s">
        <v>43</v>
      </c>
      <c r="AH7" s="42" t="s">
        <v>0</v>
      </c>
      <c r="AI7" s="42" t="s">
        <v>44</v>
      </c>
      <c r="AJ7" s="41" t="s">
        <v>45</v>
      </c>
      <c r="AK7" s="43" t="s">
        <v>46</v>
      </c>
      <c r="AM7" s="40"/>
      <c r="AN7" s="41" t="s">
        <v>42</v>
      </c>
      <c r="AO7" s="41" t="s">
        <v>43</v>
      </c>
      <c r="AP7" s="42" t="s">
        <v>0</v>
      </c>
      <c r="AQ7" s="42" t="s">
        <v>44</v>
      </c>
      <c r="AR7" s="41" t="s">
        <v>45</v>
      </c>
      <c r="AS7" s="43" t="s">
        <v>46</v>
      </c>
      <c r="AU7" s="40"/>
      <c r="AV7" s="41" t="s">
        <v>42</v>
      </c>
      <c r="AW7" s="41" t="s">
        <v>43</v>
      </c>
      <c r="AX7" s="42" t="s">
        <v>0</v>
      </c>
      <c r="AY7" s="42" t="s">
        <v>44</v>
      </c>
      <c r="AZ7" s="41" t="s">
        <v>45</v>
      </c>
      <c r="BA7" s="43" t="s">
        <v>46</v>
      </c>
      <c r="BC7" s="40"/>
      <c r="BD7" s="41" t="s">
        <v>42</v>
      </c>
      <c r="BE7" s="41" t="s">
        <v>43</v>
      </c>
      <c r="BF7" s="42" t="s">
        <v>0</v>
      </c>
      <c r="BG7" s="42" t="s">
        <v>44</v>
      </c>
      <c r="BH7" s="41" t="s">
        <v>45</v>
      </c>
      <c r="BI7" s="43" t="s">
        <v>46</v>
      </c>
      <c r="BK7" s="40"/>
      <c r="BL7" s="41" t="s">
        <v>42</v>
      </c>
      <c r="BM7" s="41" t="s">
        <v>43</v>
      </c>
      <c r="BN7" s="42" t="s">
        <v>0</v>
      </c>
      <c r="BO7" s="42" t="s">
        <v>44</v>
      </c>
      <c r="BP7" s="41" t="s">
        <v>45</v>
      </c>
      <c r="BQ7" s="43" t="s">
        <v>46</v>
      </c>
      <c r="BS7" s="40"/>
      <c r="BT7" s="41" t="s">
        <v>42</v>
      </c>
      <c r="BU7" s="41" t="s">
        <v>43</v>
      </c>
      <c r="BV7" s="42" t="s">
        <v>0</v>
      </c>
      <c r="BW7" s="42" t="s">
        <v>44</v>
      </c>
      <c r="BX7" s="41" t="s">
        <v>45</v>
      </c>
      <c r="BY7" s="43" t="s">
        <v>46</v>
      </c>
      <c r="CA7" s="40"/>
      <c r="CB7" s="41" t="s">
        <v>42</v>
      </c>
      <c r="CC7" s="41" t="s">
        <v>43</v>
      </c>
      <c r="CD7" s="42" t="s">
        <v>0</v>
      </c>
      <c r="CE7" s="42" t="s">
        <v>44</v>
      </c>
      <c r="CF7" s="41" t="s">
        <v>45</v>
      </c>
      <c r="CG7" s="43" t="s">
        <v>46</v>
      </c>
      <c r="CI7" s="40"/>
      <c r="CJ7" s="41" t="s">
        <v>42</v>
      </c>
      <c r="CK7" s="41" t="s">
        <v>43</v>
      </c>
      <c r="CL7" s="42" t="s">
        <v>0</v>
      </c>
      <c r="CM7" s="42" t="s">
        <v>44</v>
      </c>
      <c r="CN7" s="41" t="s">
        <v>45</v>
      </c>
      <c r="CO7" s="43" t="s">
        <v>46</v>
      </c>
      <c r="CQ7" s="40"/>
      <c r="CR7" s="41" t="s">
        <v>42</v>
      </c>
      <c r="CS7" s="41" t="s">
        <v>43</v>
      </c>
      <c r="CT7" s="42" t="s">
        <v>0</v>
      </c>
      <c r="CU7" s="42" t="s">
        <v>44</v>
      </c>
      <c r="CV7" s="41" t="s">
        <v>45</v>
      </c>
      <c r="CW7" s="43" t="s">
        <v>46</v>
      </c>
      <c r="CY7" s="40"/>
      <c r="CZ7" s="41" t="s">
        <v>42</v>
      </c>
      <c r="DA7" s="41" t="s">
        <v>43</v>
      </c>
      <c r="DB7" s="42" t="s">
        <v>0</v>
      </c>
      <c r="DC7" s="42" t="s">
        <v>44</v>
      </c>
      <c r="DD7" s="41" t="s">
        <v>45</v>
      </c>
      <c r="DE7" s="43" t="s">
        <v>46</v>
      </c>
      <c r="DG7" s="40"/>
      <c r="DH7" s="41" t="s">
        <v>42</v>
      </c>
      <c r="DI7" s="41" t="s">
        <v>43</v>
      </c>
      <c r="DJ7" s="42" t="s">
        <v>0</v>
      </c>
      <c r="DK7" s="42" t="s">
        <v>44</v>
      </c>
      <c r="DL7" s="41" t="s">
        <v>45</v>
      </c>
      <c r="DM7" s="43" t="s">
        <v>46</v>
      </c>
      <c r="DO7" s="40"/>
      <c r="DP7" s="41" t="s">
        <v>42</v>
      </c>
      <c r="DQ7" s="41" t="s">
        <v>43</v>
      </c>
      <c r="DR7" s="42" t="s">
        <v>0</v>
      </c>
      <c r="DS7" s="42" t="s">
        <v>44</v>
      </c>
      <c r="DT7" s="41" t="s">
        <v>45</v>
      </c>
      <c r="DU7" s="43" t="s">
        <v>46</v>
      </c>
      <c r="DW7" s="40"/>
      <c r="DX7" s="41" t="s">
        <v>42</v>
      </c>
      <c r="DY7" s="41" t="s">
        <v>43</v>
      </c>
      <c r="DZ7" s="42" t="s">
        <v>0</v>
      </c>
      <c r="EA7" s="42" t="s">
        <v>44</v>
      </c>
      <c r="EB7" s="41" t="s">
        <v>45</v>
      </c>
      <c r="EC7" s="43" t="s">
        <v>46</v>
      </c>
      <c r="EE7" s="40"/>
      <c r="EF7" s="41" t="s">
        <v>42</v>
      </c>
      <c r="EG7" s="41" t="s">
        <v>43</v>
      </c>
      <c r="EH7" s="42" t="s">
        <v>0</v>
      </c>
      <c r="EI7" s="42" t="s">
        <v>44</v>
      </c>
      <c r="EJ7" s="41" t="s">
        <v>45</v>
      </c>
      <c r="EK7" s="43" t="s">
        <v>46</v>
      </c>
      <c r="EM7" s="40"/>
      <c r="EN7" s="41" t="s">
        <v>42</v>
      </c>
      <c r="EO7" s="41" t="s">
        <v>43</v>
      </c>
      <c r="EP7" s="42" t="s">
        <v>0</v>
      </c>
      <c r="EQ7" s="42" t="s">
        <v>44</v>
      </c>
      <c r="ER7" s="41" t="s">
        <v>45</v>
      </c>
      <c r="ES7" s="43" t="s">
        <v>46</v>
      </c>
      <c r="EU7" s="40"/>
      <c r="EV7" s="41" t="s">
        <v>42</v>
      </c>
      <c r="EW7" s="41" t="s">
        <v>43</v>
      </c>
      <c r="EX7" s="42" t="s">
        <v>0</v>
      </c>
      <c r="EY7" s="42" t="s">
        <v>44</v>
      </c>
      <c r="EZ7" s="41" t="s">
        <v>45</v>
      </c>
      <c r="FA7" s="43" t="s">
        <v>46</v>
      </c>
      <c r="FC7" s="40"/>
      <c r="FD7" s="41" t="s">
        <v>42</v>
      </c>
      <c r="FE7" s="41" t="s">
        <v>43</v>
      </c>
      <c r="FF7" s="42" t="s">
        <v>0</v>
      </c>
      <c r="FG7" s="42" t="s">
        <v>44</v>
      </c>
      <c r="FH7" s="41" t="s">
        <v>45</v>
      </c>
      <c r="FI7" s="43" t="s">
        <v>46</v>
      </c>
      <c r="FK7" s="40"/>
      <c r="FL7" s="41" t="s">
        <v>42</v>
      </c>
      <c r="FM7" s="41" t="s">
        <v>43</v>
      </c>
      <c r="FN7" s="42" t="s">
        <v>0</v>
      </c>
      <c r="FO7" s="42" t="s">
        <v>44</v>
      </c>
      <c r="FP7" s="41" t="s">
        <v>45</v>
      </c>
      <c r="FQ7" s="43" t="s">
        <v>46</v>
      </c>
      <c r="FS7" s="40"/>
      <c r="FT7" s="41" t="s">
        <v>42</v>
      </c>
      <c r="FU7" s="41" t="s">
        <v>43</v>
      </c>
      <c r="FV7" s="42" t="s">
        <v>0</v>
      </c>
      <c r="FW7" s="42" t="s">
        <v>44</v>
      </c>
      <c r="FX7" s="41" t="s">
        <v>45</v>
      </c>
      <c r="FY7" s="43" t="s">
        <v>46</v>
      </c>
      <c r="GA7" s="40"/>
      <c r="GB7" s="41" t="s">
        <v>42</v>
      </c>
      <c r="GC7" s="41" t="s">
        <v>43</v>
      </c>
      <c r="GD7" s="42" t="s">
        <v>0</v>
      </c>
      <c r="GE7" s="42" t="s">
        <v>44</v>
      </c>
      <c r="GF7" s="41" t="s">
        <v>45</v>
      </c>
      <c r="GG7" s="43" t="s">
        <v>46</v>
      </c>
      <c r="GI7" s="40"/>
      <c r="GJ7" s="41" t="s">
        <v>42</v>
      </c>
      <c r="GK7" s="41" t="s">
        <v>43</v>
      </c>
      <c r="GL7" s="42" t="s">
        <v>0</v>
      </c>
      <c r="GM7" s="42" t="s">
        <v>44</v>
      </c>
      <c r="GN7" s="41" t="s">
        <v>45</v>
      </c>
      <c r="GO7" s="43" t="s">
        <v>46</v>
      </c>
    </row>
    <row r="8" spans="1:197" ht="14.25">
      <c r="A8" s="120"/>
      <c r="B8" s="120"/>
      <c r="C8" s="148" t="s">
        <v>47</v>
      </c>
      <c r="D8" s="117"/>
      <c r="E8" s="120"/>
      <c r="F8" s="121">
        <v>3</v>
      </c>
      <c r="G8" s="120" t="s">
        <v>48</v>
      </c>
      <c r="H8" s="120"/>
      <c r="I8" s="120"/>
      <c r="K8" s="46" t="s">
        <v>49</v>
      </c>
      <c r="L8" s="34">
        <f>$E$12</f>
        <v>0</v>
      </c>
      <c r="M8" s="47">
        <f>L8/43560</f>
        <v>0</v>
      </c>
      <c r="N8" s="48" t="e">
        <f>$O$4</f>
        <v>#N/A</v>
      </c>
      <c r="O8" s="49" t="e">
        <f>(1000/N8)-10</f>
        <v>#N/A</v>
      </c>
      <c r="P8" s="49" t="e">
        <f>($T$22-0.2*O8)^2/($T$22+0.8*O8)</f>
        <v>#N/A</v>
      </c>
      <c r="Q8" s="50" t="e">
        <f>IF($T$22&gt;0,P8*M8,0)</f>
        <v>#N/A</v>
      </c>
      <c r="R8" s="23"/>
      <c r="S8" s="23"/>
      <c r="T8" s="23"/>
      <c r="U8" s="23"/>
      <c r="W8" s="51" t="s">
        <v>50</v>
      </c>
      <c r="X8" s="24">
        <f>$E$12</f>
        <v>0</v>
      </c>
      <c r="Y8" s="52">
        <f>X8/43560</f>
        <v>0</v>
      </c>
      <c r="Z8" s="53" t="e">
        <f>$O$4</f>
        <v>#N/A</v>
      </c>
      <c r="AA8" s="31" t="e">
        <f>(1000/Z8)-10</f>
        <v>#N/A</v>
      </c>
      <c r="AB8" s="31" t="e">
        <f>(Y6-0.2*AA8)^2/(Y6+0.8*AA8)</f>
        <v>#N/A</v>
      </c>
      <c r="AC8" s="54" t="e">
        <f>IF(Y6&gt;0,AB8*Y8,0)</f>
        <v>#N/A</v>
      </c>
      <c r="AD8" s="25"/>
      <c r="AE8" s="51" t="s">
        <v>50</v>
      </c>
      <c r="AF8" s="24">
        <f>$E$12</f>
        <v>0</v>
      </c>
      <c r="AG8" s="52">
        <f>AF8/43560</f>
        <v>0</v>
      </c>
      <c r="AH8" s="53" t="e">
        <f>$O$4</f>
        <v>#N/A</v>
      </c>
      <c r="AI8" s="31" t="e">
        <f>(1000/AH8)-10</f>
        <v>#N/A</v>
      </c>
      <c r="AJ8" s="31" t="e">
        <f>(AG6-0.2*AI8)^2/(AG6+0.8*AI8)</f>
        <v>#N/A</v>
      </c>
      <c r="AK8" s="54" t="e">
        <f>IF(AG6&gt;0,AJ8*AG8,0)</f>
        <v>#N/A</v>
      </c>
      <c r="AM8" s="51" t="s">
        <v>50</v>
      </c>
      <c r="AN8" s="24">
        <f>$E$12</f>
        <v>0</v>
      </c>
      <c r="AO8" s="52">
        <f>AN8/43560</f>
        <v>0</v>
      </c>
      <c r="AP8" s="53" t="e">
        <f>$O$4</f>
        <v>#N/A</v>
      </c>
      <c r="AQ8" s="31" t="e">
        <f>(1000/AP8)-10</f>
        <v>#N/A</v>
      </c>
      <c r="AR8" s="31" t="e">
        <f>(AO6-0.2*AQ8)^2/(AO6+0.8*AQ8)</f>
        <v>#N/A</v>
      </c>
      <c r="AS8" s="54" t="e">
        <f>IF(AO6&gt;0,AR8*AO8,0)</f>
        <v>#N/A</v>
      </c>
      <c r="AU8" s="51" t="s">
        <v>50</v>
      </c>
      <c r="AV8" s="24">
        <f>$E$12</f>
        <v>0</v>
      </c>
      <c r="AW8" s="52">
        <f>AV8/43560</f>
        <v>0</v>
      </c>
      <c r="AX8" s="53" t="e">
        <f>$O$4</f>
        <v>#N/A</v>
      </c>
      <c r="AY8" s="31" t="e">
        <f>(1000/AX8)-10</f>
        <v>#N/A</v>
      </c>
      <c r="AZ8" s="31" t="e">
        <f>(AW6-0.2*AY8)^2/(AW6+0.8*AY8)</f>
        <v>#N/A</v>
      </c>
      <c r="BA8" s="54" t="e">
        <f>IF(AW6&gt;0,AZ8*AW8,0)</f>
        <v>#N/A</v>
      </c>
      <c r="BC8" s="51" t="s">
        <v>50</v>
      </c>
      <c r="BD8" s="24">
        <f>$E$12</f>
        <v>0</v>
      </c>
      <c r="BE8" s="52">
        <f>BD8/43560</f>
        <v>0</v>
      </c>
      <c r="BF8" s="53" t="e">
        <f>$O$4</f>
        <v>#N/A</v>
      </c>
      <c r="BG8" s="31" t="e">
        <f>(1000/BF8)-10</f>
        <v>#N/A</v>
      </c>
      <c r="BH8" s="31" t="e">
        <f>(BE6-0.2*BG8)^2/(BE6+0.8*BG8)</f>
        <v>#N/A</v>
      </c>
      <c r="BI8" s="54" t="e">
        <f>IF(BE6&gt;0,BH8*BE8,0)</f>
        <v>#N/A</v>
      </c>
      <c r="BK8" s="51" t="s">
        <v>50</v>
      </c>
      <c r="BL8" s="24">
        <f>$E$12</f>
        <v>0</v>
      </c>
      <c r="BM8" s="52">
        <f>BL8/43560</f>
        <v>0</v>
      </c>
      <c r="BN8" s="53" t="e">
        <f>$O$4</f>
        <v>#N/A</v>
      </c>
      <c r="BO8" s="31" t="e">
        <f>(1000/BN8)-10</f>
        <v>#N/A</v>
      </c>
      <c r="BP8" s="31" t="e">
        <f>(BM6-0.2*BO8)^2/(BM6+0.8*BO8)</f>
        <v>#N/A</v>
      </c>
      <c r="BQ8" s="54" t="e">
        <f>IF(BM6&gt;0,BP8*BM8,0)</f>
        <v>#N/A</v>
      </c>
      <c r="BS8" s="51" t="s">
        <v>50</v>
      </c>
      <c r="BT8" s="24">
        <f>$E$12</f>
        <v>0</v>
      </c>
      <c r="BU8" s="52">
        <f>BT8/43560</f>
        <v>0</v>
      </c>
      <c r="BV8" s="53" t="e">
        <f>$O$4</f>
        <v>#N/A</v>
      </c>
      <c r="BW8" s="31" t="e">
        <f>(1000/BV8)-10</f>
        <v>#N/A</v>
      </c>
      <c r="BX8" s="31" t="e">
        <f>(BU6-0.2*BW8)^2/(BU6+0.8*BW8)</f>
        <v>#N/A</v>
      </c>
      <c r="BY8" s="54" t="e">
        <f>IF(BU6&gt;0,BX8*BU8,0)</f>
        <v>#N/A</v>
      </c>
      <c r="CA8" s="51" t="s">
        <v>50</v>
      </c>
      <c r="CB8" s="24">
        <f>$E$12</f>
        <v>0</v>
      </c>
      <c r="CC8" s="52">
        <f>CB8/43560</f>
        <v>0</v>
      </c>
      <c r="CD8" s="53" t="e">
        <f>$O$4</f>
        <v>#N/A</v>
      </c>
      <c r="CE8" s="31" t="e">
        <f>(1000/CD8)-10</f>
        <v>#N/A</v>
      </c>
      <c r="CF8" s="31" t="e">
        <f>(CC6-0.2*CE8)^2/(CC6+0.8*CE8)</f>
        <v>#N/A</v>
      </c>
      <c r="CG8" s="54" t="e">
        <f>IF(CC6&gt;0,CF8*CC8,0)</f>
        <v>#N/A</v>
      </c>
      <c r="CI8" s="51" t="s">
        <v>50</v>
      </c>
      <c r="CJ8" s="24">
        <f>$E$12</f>
        <v>0</v>
      </c>
      <c r="CK8" s="52">
        <f>CJ8/43560</f>
        <v>0</v>
      </c>
      <c r="CL8" s="53" t="e">
        <f>$O$4</f>
        <v>#N/A</v>
      </c>
      <c r="CM8" s="31" t="e">
        <f>(1000/CL8)-10</f>
        <v>#N/A</v>
      </c>
      <c r="CN8" s="31" t="e">
        <f>(CK6-0.2*CM8)^2/(CK6+0.8*CM8)</f>
        <v>#N/A</v>
      </c>
      <c r="CO8" s="54" t="e">
        <f>IF(CK6&gt;0,CN8*CK8,0)</f>
        <v>#N/A</v>
      </c>
      <c r="CQ8" s="51" t="s">
        <v>50</v>
      </c>
      <c r="CR8" s="24">
        <f>$E$12</f>
        <v>0</v>
      </c>
      <c r="CS8" s="52">
        <f>CR8/43560</f>
        <v>0</v>
      </c>
      <c r="CT8" s="53" t="e">
        <f>$O$4</f>
        <v>#N/A</v>
      </c>
      <c r="CU8" s="31" t="e">
        <f>(1000/CT8)-10</f>
        <v>#N/A</v>
      </c>
      <c r="CV8" s="31" t="e">
        <f>(CS6-0.2*CU8)^2/(CS6+0.8*CU8)</f>
        <v>#N/A</v>
      </c>
      <c r="CW8" s="54" t="e">
        <f>IF(CS6&gt;0,CV8*CS8,0)</f>
        <v>#N/A</v>
      </c>
      <c r="CY8" s="51" t="s">
        <v>50</v>
      </c>
      <c r="CZ8" s="24">
        <f>$E$12</f>
        <v>0</v>
      </c>
      <c r="DA8" s="52">
        <f>CZ8/43560</f>
        <v>0</v>
      </c>
      <c r="DB8" s="53" t="e">
        <f>$O$4</f>
        <v>#N/A</v>
      </c>
      <c r="DC8" s="31" t="e">
        <f>(1000/DB8)-10</f>
        <v>#N/A</v>
      </c>
      <c r="DD8" s="31" t="e">
        <f>(DA6-0.2*DC8)^2/(DA6+0.8*DC8)</f>
        <v>#N/A</v>
      </c>
      <c r="DE8" s="54" t="e">
        <f>IF(DA6&gt;0,DD8*DA8,0)</f>
        <v>#N/A</v>
      </c>
      <c r="DG8" s="51" t="s">
        <v>50</v>
      </c>
      <c r="DH8" s="24">
        <f>$E$12</f>
        <v>0</v>
      </c>
      <c r="DI8" s="52">
        <f>DH8/43560</f>
        <v>0</v>
      </c>
      <c r="DJ8" s="53" t="e">
        <f>$O$4</f>
        <v>#N/A</v>
      </c>
      <c r="DK8" s="31" t="e">
        <f>(1000/DJ8)-10</f>
        <v>#N/A</v>
      </c>
      <c r="DL8" s="31" t="e">
        <f>(DI6-0.2*DK8)^2/(DI6+0.8*DK8)</f>
        <v>#N/A</v>
      </c>
      <c r="DM8" s="54" t="e">
        <f>IF(DI6&gt;0,DL8*DI8,0)</f>
        <v>#N/A</v>
      </c>
      <c r="DO8" s="51" t="s">
        <v>50</v>
      </c>
      <c r="DP8" s="24">
        <f>$E$12</f>
        <v>0</v>
      </c>
      <c r="DQ8" s="52">
        <f>DP8/43560</f>
        <v>0</v>
      </c>
      <c r="DR8" s="53" t="e">
        <f>$O$4</f>
        <v>#N/A</v>
      </c>
      <c r="DS8" s="31" t="e">
        <f>(1000/DR8)-10</f>
        <v>#N/A</v>
      </c>
      <c r="DT8" s="31" t="e">
        <f>(DQ6-0.2*DS8)^2/(DQ6+0.8*DS8)</f>
        <v>#N/A</v>
      </c>
      <c r="DU8" s="54" t="e">
        <f>IF(DQ6&gt;0,DT8*DQ8,0)</f>
        <v>#N/A</v>
      </c>
      <c r="DW8" s="51" t="s">
        <v>50</v>
      </c>
      <c r="DX8" s="24">
        <f>$E$12</f>
        <v>0</v>
      </c>
      <c r="DY8" s="52">
        <f>DX8/43560</f>
        <v>0</v>
      </c>
      <c r="DZ8" s="53" t="e">
        <f>$O$4</f>
        <v>#N/A</v>
      </c>
      <c r="EA8" s="31" t="e">
        <f>(1000/DZ8)-10</f>
        <v>#N/A</v>
      </c>
      <c r="EB8" s="31" t="e">
        <f>(DY6-0.2*EA8)^2/(DY6+0.8*EA8)</f>
        <v>#N/A</v>
      </c>
      <c r="EC8" s="54" t="e">
        <f>IF(DY6&gt;0,EB8*DY8,0)</f>
        <v>#N/A</v>
      </c>
      <c r="EE8" s="51" t="s">
        <v>50</v>
      </c>
      <c r="EF8" s="24">
        <f>$E$12</f>
        <v>0</v>
      </c>
      <c r="EG8" s="52">
        <f>EF8/43560</f>
        <v>0</v>
      </c>
      <c r="EH8" s="53" t="e">
        <f>$O$4</f>
        <v>#N/A</v>
      </c>
      <c r="EI8" s="31" t="e">
        <f>(1000/EH8)-10</f>
        <v>#N/A</v>
      </c>
      <c r="EJ8" s="31" t="e">
        <f>(EG6-0.2*EI8)^2/(EG6+0.8*EI8)</f>
        <v>#N/A</v>
      </c>
      <c r="EK8" s="54" t="e">
        <f>IF(EG6&gt;0,EJ8*EG8,0)</f>
        <v>#N/A</v>
      </c>
      <c r="EM8" s="51" t="s">
        <v>50</v>
      </c>
      <c r="EN8" s="24">
        <f>$E$12</f>
        <v>0</v>
      </c>
      <c r="EO8" s="52">
        <f>EN8/43560</f>
        <v>0</v>
      </c>
      <c r="EP8" s="53" t="e">
        <f>$O$4</f>
        <v>#N/A</v>
      </c>
      <c r="EQ8" s="31" t="e">
        <f>(1000/EP8)-10</f>
        <v>#N/A</v>
      </c>
      <c r="ER8" s="31" t="e">
        <f>(EO6-0.2*EQ8)^2/(EO6+0.8*EQ8)</f>
        <v>#N/A</v>
      </c>
      <c r="ES8" s="54" t="e">
        <f>IF(EO6&gt;0,ER8*EO8,0)</f>
        <v>#N/A</v>
      </c>
      <c r="EU8" s="51" t="s">
        <v>50</v>
      </c>
      <c r="EV8" s="24">
        <f>$E$12</f>
        <v>0</v>
      </c>
      <c r="EW8" s="52">
        <f>EV8/43560</f>
        <v>0</v>
      </c>
      <c r="EX8" s="53" t="e">
        <f>$O$4</f>
        <v>#N/A</v>
      </c>
      <c r="EY8" s="31" t="e">
        <f>(1000/EX8)-10</f>
        <v>#N/A</v>
      </c>
      <c r="EZ8" s="31" t="e">
        <f>(EW6-0.2*EY8)^2/(EW6+0.8*EY8)</f>
        <v>#N/A</v>
      </c>
      <c r="FA8" s="54" t="e">
        <f>IF(EW6&gt;0,EZ8*EW8,0)</f>
        <v>#N/A</v>
      </c>
      <c r="FC8" s="51" t="s">
        <v>50</v>
      </c>
      <c r="FD8" s="24">
        <f>$E$12</f>
        <v>0</v>
      </c>
      <c r="FE8" s="52">
        <f>FD8/43560</f>
        <v>0</v>
      </c>
      <c r="FF8" s="53" t="e">
        <f>$O$4</f>
        <v>#N/A</v>
      </c>
      <c r="FG8" s="31" t="e">
        <f>(1000/FF8)-10</f>
        <v>#N/A</v>
      </c>
      <c r="FH8" s="31" t="e">
        <f>(FE6-0.2*FG8)^2/(FE6+0.8*FG8)</f>
        <v>#N/A</v>
      </c>
      <c r="FI8" s="54" t="e">
        <f>IF(FE6&gt;0,FH8*FE8,0)</f>
        <v>#N/A</v>
      </c>
      <c r="FK8" s="51" t="s">
        <v>50</v>
      </c>
      <c r="FL8" s="24">
        <f>$E$12</f>
        <v>0</v>
      </c>
      <c r="FM8" s="52">
        <f>FL8/43560</f>
        <v>0</v>
      </c>
      <c r="FN8" s="53" t="e">
        <f>$O$4</f>
        <v>#N/A</v>
      </c>
      <c r="FO8" s="31" t="e">
        <f>(1000/FN8)-10</f>
        <v>#N/A</v>
      </c>
      <c r="FP8" s="31" t="e">
        <f>(FM6-0.2*FO8)^2/(FM6+0.8*FO8)</f>
        <v>#N/A</v>
      </c>
      <c r="FQ8" s="54" t="e">
        <f>IF(FM6&gt;0,FP8*FM8,0)</f>
        <v>#N/A</v>
      </c>
      <c r="FS8" s="51" t="s">
        <v>50</v>
      </c>
      <c r="FT8" s="24">
        <f>$E$12</f>
        <v>0</v>
      </c>
      <c r="FU8" s="52">
        <f>FT8/43560</f>
        <v>0</v>
      </c>
      <c r="FV8" s="53" t="e">
        <f>$O$4</f>
        <v>#N/A</v>
      </c>
      <c r="FW8" s="31" t="e">
        <f>(1000/FV8)-10</f>
        <v>#N/A</v>
      </c>
      <c r="FX8" s="31" t="e">
        <f>(FU6-0.2*FW8)^2/(FU6+0.8*FW8)</f>
        <v>#N/A</v>
      </c>
      <c r="FY8" s="54" t="e">
        <f>IF(FU6&gt;0,FX8*FU8,0)</f>
        <v>#N/A</v>
      </c>
      <c r="GA8" s="51" t="s">
        <v>50</v>
      </c>
      <c r="GB8" s="24">
        <f>$E$12</f>
        <v>0</v>
      </c>
      <c r="GC8" s="52">
        <f>GB8/43560</f>
        <v>0</v>
      </c>
      <c r="GD8" s="53" t="e">
        <f>$O$4</f>
        <v>#N/A</v>
      </c>
      <c r="GE8" s="31" t="e">
        <f>(1000/GD8)-10</f>
        <v>#N/A</v>
      </c>
      <c r="GF8" s="31" t="e">
        <f>(GC6-0.2*GE8)^2/(GC6+0.8*GE8)</f>
        <v>#N/A</v>
      </c>
      <c r="GG8" s="54" t="e">
        <f>IF(GC6&gt;0,GF8*GC8,0)</f>
        <v>#N/A</v>
      </c>
      <c r="GI8" s="51" t="s">
        <v>50</v>
      </c>
      <c r="GJ8" s="24">
        <f>$E$12</f>
        <v>0</v>
      </c>
      <c r="GK8" s="52">
        <f>GJ8/43560</f>
        <v>0</v>
      </c>
      <c r="GL8" s="53" t="e">
        <f>$O$4</f>
        <v>#N/A</v>
      </c>
      <c r="GM8" s="31" t="e">
        <f>(1000/GL8)-10</f>
        <v>#N/A</v>
      </c>
      <c r="GN8" s="31" t="e">
        <f>(GK6-0.2*GM8)^2/(GK6+0.8*GM8)</f>
        <v>#N/A</v>
      </c>
      <c r="GO8" s="54" t="e">
        <f>IF(GK6&gt;0,GN8*GK8,0)</f>
        <v>#N/A</v>
      </c>
    </row>
    <row r="9" spans="1:197" ht="14.25">
      <c r="A9" s="120"/>
      <c r="B9" s="120"/>
      <c r="C9" s="120"/>
      <c r="D9" s="120"/>
      <c r="E9" s="120"/>
      <c r="F9" s="121">
        <v>4</v>
      </c>
      <c r="G9" s="120" t="s">
        <v>51</v>
      </c>
      <c r="H9" s="120"/>
      <c r="I9" s="120"/>
      <c r="K9" s="55"/>
      <c r="L9" s="34"/>
      <c r="M9" s="34"/>
      <c r="N9" s="34"/>
      <c r="O9" s="34"/>
      <c r="P9" s="34"/>
      <c r="Q9" s="49"/>
      <c r="R9" s="19" t="s">
        <v>52</v>
      </c>
      <c r="S9" s="20"/>
      <c r="T9" s="20"/>
      <c r="U9" s="22"/>
      <c r="W9" s="51"/>
      <c r="X9" s="24"/>
      <c r="Y9" s="24"/>
      <c r="Z9" s="24"/>
      <c r="AA9" s="24"/>
      <c r="AB9" s="24"/>
      <c r="AC9" s="56"/>
      <c r="AD9" s="24"/>
      <c r="AE9" s="51"/>
      <c r="AF9" s="24"/>
      <c r="AG9" s="24"/>
      <c r="AH9" s="24"/>
      <c r="AI9" s="24"/>
      <c r="AJ9" s="24"/>
      <c r="AK9" s="56"/>
      <c r="AM9" s="51"/>
      <c r="AN9" s="24"/>
      <c r="AO9" s="24"/>
      <c r="AP9" s="24"/>
      <c r="AQ9" s="24"/>
      <c r="AR9" s="24"/>
      <c r="AS9" s="56"/>
      <c r="AU9" s="51"/>
      <c r="AV9" s="24"/>
      <c r="AW9" s="24"/>
      <c r="AX9" s="24"/>
      <c r="AY9" s="24"/>
      <c r="AZ9" s="24"/>
      <c r="BA9" s="56"/>
      <c r="BC9" s="51"/>
      <c r="BD9" s="24"/>
      <c r="BE9" s="24"/>
      <c r="BF9" s="24"/>
      <c r="BG9" s="24"/>
      <c r="BH9" s="24"/>
      <c r="BI9" s="56"/>
      <c r="BK9" s="51"/>
      <c r="BL9" s="24"/>
      <c r="BM9" s="24"/>
      <c r="BN9" s="24"/>
      <c r="BO9" s="24"/>
      <c r="BP9" s="24"/>
      <c r="BQ9" s="56"/>
      <c r="BS9" s="51"/>
      <c r="BT9" s="24"/>
      <c r="BU9" s="24"/>
      <c r="BV9" s="24"/>
      <c r="BW9" s="24"/>
      <c r="BX9" s="24"/>
      <c r="BY9" s="56"/>
      <c r="CA9" s="51"/>
      <c r="CB9" s="24"/>
      <c r="CC9" s="24"/>
      <c r="CD9" s="24"/>
      <c r="CE9" s="24"/>
      <c r="CF9" s="24"/>
      <c r="CG9" s="56"/>
      <c r="CI9" s="51"/>
      <c r="CJ9" s="24"/>
      <c r="CK9" s="24"/>
      <c r="CL9" s="24"/>
      <c r="CM9" s="24"/>
      <c r="CN9" s="24"/>
      <c r="CO9" s="56"/>
      <c r="CQ9" s="51"/>
      <c r="CR9" s="24"/>
      <c r="CS9" s="24"/>
      <c r="CT9" s="24"/>
      <c r="CU9" s="24"/>
      <c r="CV9" s="24"/>
      <c r="CW9" s="56"/>
      <c r="CY9" s="51"/>
      <c r="CZ9" s="24"/>
      <c r="DA9" s="24"/>
      <c r="DB9" s="24"/>
      <c r="DC9" s="24"/>
      <c r="DD9" s="24"/>
      <c r="DE9" s="56"/>
      <c r="DG9" s="51"/>
      <c r="DH9" s="24"/>
      <c r="DI9" s="24"/>
      <c r="DJ9" s="24"/>
      <c r="DK9" s="24"/>
      <c r="DL9" s="24"/>
      <c r="DM9" s="56"/>
      <c r="DO9" s="51"/>
      <c r="DP9" s="24"/>
      <c r="DQ9" s="24"/>
      <c r="DR9" s="24"/>
      <c r="DS9" s="24"/>
      <c r="DT9" s="24"/>
      <c r="DU9" s="56"/>
      <c r="DW9" s="51"/>
      <c r="DX9" s="24"/>
      <c r="DY9" s="24"/>
      <c r="DZ9" s="24"/>
      <c r="EA9" s="24"/>
      <c r="EB9" s="24"/>
      <c r="EC9" s="56"/>
      <c r="EE9" s="51"/>
      <c r="EF9" s="24"/>
      <c r="EG9" s="24"/>
      <c r="EH9" s="24"/>
      <c r="EI9" s="24"/>
      <c r="EJ9" s="24"/>
      <c r="EK9" s="56"/>
      <c r="EM9" s="51"/>
      <c r="EN9" s="24"/>
      <c r="EO9" s="24"/>
      <c r="EP9" s="24"/>
      <c r="EQ9" s="24"/>
      <c r="ER9" s="24"/>
      <c r="ES9" s="56"/>
      <c r="EU9" s="51"/>
      <c r="EV9" s="24"/>
      <c r="EW9" s="24"/>
      <c r="EX9" s="24"/>
      <c r="EY9" s="24"/>
      <c r="EZ9" s="24"/>
      <c r="FA9" s="56"/>
      <c r="FC9" s="51"/>
      <c r="FD9" s="24"/>
      <c r="FE9" s="24"/>
      <c r="FF9" s="24"/>
      <c r="FG9" s="24"/>
      <c r="FH9" s="24"/>
      <c r="FI9" s="56"/>
      <c r="FK9" s="51"/>
      <c r="FL9" s="24"/>
      <c r="FM9" s="24"/>
      <c r="FN9" s="24"/>
      <c r="FO9" s="24"/>
      <c r="FP9" s="24"/>
      <c r="FQ9" s="56"/>
      <c r="FS9" s="51"/>
      <c r="FT9" s="24"/>
      <c r="FU9" s="24"/>
      <c r="FV9" s="24"/>
      <c r="FW9" s="24"/>
      <c r="FX9" s="24"/>
      <c r="FY9" s="56"/>
      <c r="GA9" s="51"/>
      <c r="GB9" s="24"/>
      <c r="GC9" s="24"/>
      <c r="GD9" s="24"/>
      <c r="GE9" s="24"/>
      <c r="GF9" s="24"/>
      <c r="GG9" s="56"/>
      <c r="GI9" s="51"/>
      <c r="GJ9" s="24"/>
      <c r="GK9" s="24"/>
      <c r="GL9" s="24"/>
      <c r="GM9" s="24"/>
      <c r="GN9" s="24"/>
      <c r="GO9" s="56"/>
    </row>
    <row r="10" spans="1:197" ht="14.25">
      <c r="A10" s="120"/>
      <c r="B10" s="120"/>
      <c r="C10" s="148" t="s">
        <v>24</v>
      </c>
      <c r="D10" s="143"/>
      <c r="E10" s="120"/>
      <c r="F10" s="120" t="s">
        <v>10</v>
      </c>
      <c r="G10" s="121"/>
      <c r="H10" s="121"/>
      <c r="I10" s="121"/>
      <c r="K10" s="57" t="s">
        <v>53</v>
      </c>
      <c r="L10" s="34"/>
      <c r="M10" s="34"/>
      <c r="N10" s="34"/>
      <c r="O10" s="34"/>
      <c r="P10" s="34"/>
      <c r="Q10" s="49"/>
      <c r="R10" s="32" t="s">
        <v>54</v>
      </c>
      <c r="S10" s="34"/>
      <c r="T10" s="34"/>
      <c r="U10" s="35"/>
      <c r="W10" s="51" t="s">
        <v>53</v>
      </c>
      <c r="X10" s="24"/>
      <c r="Y10" s="24"/>
      <c r="Z10" s="24"/>
      <c r="AA10" s="24"/>
      <c r="AB10" s="24"/>
      <c r="AC10" s="56"/>
      <c r="AD10" s="24"/>
      <c r="AE10" s="51" t="s">
        <v>53</v>
      </c>
      <c r="AF10" s="24"/>
      <c r="AG10" s="24"/>
      <c r="AH10" s="24"/>
      <c r="AI10" s="24"/>
      <c r="AJ10" s="24"/>
      <c r="AK10" s="56"/>
      <c r="AM10" s="51" t="s">
        <v>53</v>
      </c>
      <c r="AN10" s="24"/>
      <c r="AO10" s="24"/>
      <c r="AP10" s="24"/>
      <c r="AQ10" s="24"/>
      <c r="AR10" s="24"/>
      <c r="AS10" s="56"/>
      <c r="AU10" s="51" t="s">
        <v>53</v>
      </c>
      <c r="AV10" s="24"/>
      <c r="AW10" s="24"/>
      <c r="AX10" s="24"/>
      <c r="AY10" s="24"/>
      <c r="AZ10" s="24"/>
      <c r="BA10" s="56"/>
      <c r="BC10" s="51" t="s">
        <v>53</v>
      </c>
      <c r="BD10" s="24"/>
      <c r="BE10" s="24"/>
      <c r="BF10" s="24"/>
      <c r="BG10" s="24"/>
      <c r="BH10" s="24"/>
      <c r="BI10" s="56"/>
      <c r="BK10" s="51" t="s">
        <v>53</v>
      </c>
      <c r="BL10" s="24"/>
      <c r="BM10" s="24"/>
      <c r="BN10" s="24"/>
      <c r="BO10" s="24"/>
      <c r="BP10" s="24"/>
      <c r="BQ10" s="56"/>
      <c r="BS10" s="51" t="s">
        <v>53</v>
      </c>
      <c r="BT10" s="24"/>
      <c r="BU10" s="24"/>
      <c r="BV10" s="24"/>
      <c r="BW10" s="24"/>
      <c r="BX10" s="24"/>
      <c r="BY10" s="56"/>
      <c r="CA10" s="51" t="s">
        <v>53</v>
      </c>
      <c r="CB10" s="24"/>
      <c r="CC10" s="24"/>
      <c r="CD10" s="24"/>
      <c r="CE10" s="24"/>
      <c r="CF10" s="24"/>
      <c r="CG10" s="56"/>
      <c r="CI10" s="51" t="s">
        <v>53</v>
      </c>
      <c r="CJ10" s="24"/>
      <c r="CK10" s="24"/>
      <c r="CL10" s="24"/>
      <c r="CM10" s="24"/>
      <c r="CN10" s="24"/>
      <c r="CO10" s="56"/>
      <c r="CQ10" s="51" t="s">
        <v>53</v>
      </c>
      <c r="CR10" s="24"/>
      <c r="CS10" s="24"/>
      <c r="CT10" s="24"/>
      <c r="CU10" s="24"/>
      <c r="CV10" s="24"/>
      <c r="CW10" s="56"/>
      <c r="CY10" s="51" t="s">
        <v>53</v>
      </c>
      <c r="CZ10" s="24"/>
      <c r="DA10" s="24"/>
      <c r="DB10" s="24"/>
      <c r="DC10" s="24"/>
      <c r="DD10" s="24"/>
      <c r="DE10" s="56"/>
      <c r="DG10" s="51" t="s">
        <v>53</v>
      </c>
      <c r="DH10" s="24"/>
      <c r="DI10" s="24"/>
      <c r="DJ10" s="24"/>
      <c r="DK10" s="24"/>
      <c r="DL10" s="24"/>
      <c r="DM10" s="56"/>
      <c r="DO10" s="51" t="s">
        <v>53</v>
      </c>
      <c r="DP10" s="24"/>
      <c r="DQ10" s="24"/>
      <c r="DR10" s="24"/>
      <c r="DS10" s="24"/>
      <c r="DT10" s="24"/>
      <c r="DU10" s="56"/>
      <c r="DW10" s="51" t="s">
        <v>53</v>
      </c>
      <c r="DX10" s="24"/>
      <c r="DY10" s="24"/>
      <c r="DZ10" s="24"/>
      <c r="EA10" s="24"/>
      <c r="EB10" s="24"/>
      <c r="EC10" s="56"/>
      <c r="EE10" s="51" t="s">
        <v>53</v>
      </c>
      <c r="EF10" s="24"/>
      <c r="EG10" s="24"/>
      <c r="EH10" s="24"/>
      <c r="EI10" s="24"/>
      <c r="EJ10" s="24"/>
      <c r="EK10" s="56"/>
      <c r="EM10" s="51" t="s">
        <v>53</v>
      </c>
      <c r="EN10" s="24"/>
      <c r="EO10" s="24"/>
      <c r="EP10" s="24"/>
      <c r="EQ10" s="24"/>
      <c r="ER10" s="24"/>
      <c r="ES10" s="56"/>
      <c r="EU10" s="51" t="s">
        <v>53</v>
      </c>
      <c r="EV10" s="24"/>
      <c r="EW10" s="24"/>
      <c r="EX10" s="24"/>
      <c r="EY10" s="24"/>
      <c r="EZ10" s="24"/>
      <c r="FA10" s="56"/>
      <c r="FC10" s="51" t="s">
        <v>53</v>
      </c>
      <c r="FD10" s="24"/>
      <c r="FE10" s="24"/>
      <c r="FF10" s="24"/>
      <c r="FG10" s="24"/>
      <c r="FH10" s="24"/>
      <c r="FI10" s="56"/>
      <c r="FK10" s="51" t="s">
        <v>53</v>
      </c>
      <c r="FL10" s="24"/>
      <c r="FM10" s="24"/>
      <c r="FN10" s="24"/>
      <c r="FO10" s="24"/>
      <c r="FP10" s="24"/>
      <c r="FQ10" s="56"/>
      <c r="FS10" s="51" t="s">
        <v>53</v>
      </c>
      <c r="FT10" s="24"/>
      <c r="FU10" s="24"/>
      <c r="FV10" s="24"/>
      <c r="FW10" s="24"/>
      <c r="FX10" s="24"/>
      <c r="FY10" s="56"/>
      <c r="GA10" s="51" t="s">
        <v>53</v>
      </c>
      <c r="GB10" s="24"/>
      <c r="GC10" s="24"/>
      <c r="GD10" s="24"/>
      <c r="GE10" s="24"/>
      <c r="GF10" s="24"/>
      <c r="GG10" s="56"/>
      <c r="GI10" s="51" t="s">
        <v>53</v>
      </c>
      <c r="GJ10" s="24"/>
      <c r="GK10" s="24"/>
      <c r="GL10" s="24"/>
      <c r="GM10" s="24"/>
      <c r="GN10" s="24"/>
      <c r="GO10" s="56"/>
    </row>
    <row r="11" spans="1:197" ht="14.25">
      <c r="A11" s="120"/>
      <c r="B11" s="120"/>
      <c r="C11" s="148" t="s">
        <v>23</v>
      </c>
      <c r="D11" s="143"/>
      <c r="E11" s="120"/>
      <c r="F11" s="120" t="s">
        <v>10</v>
      </c>
      <c r="G11" s="121"/>
      <c r="H11" s="149"/>
      <c r="I11" s="150"/>
      <c r="K11" s="55">
        <v>1</v>
      </c>
      <c r="L11" s="34">
        <f>$D$23</f>
        <v>0</v>
      </c>
      <c r="M11" s="47">
        <f>L11/43560</f>
        <v>0</v>
      </c>
      <c r="N11" s="34">
        <f>IF($D$24&lt;60,60,$D$24)</f>
        <v>60</v>
      </c>
      <c r="O11" s="49">
        <f>(1000/N11)-10</f>
        <v>6.666666666666668</v>
      </c>
      <c r="P11" s="49">
        <f>IF($T$22-(0.2*O11)&gt;0,($T$22-0.2*O11)^2/($T$22+0.8*O11),0)</f>
        <v>0.6661800486618</v>
      </c>
      <c r="Q11" s="49">
        <f>IF($T$22&gt;0,P11*M11,0)</f>
        <v>0</v>
      </c>
      <c r="R11" s="32" t="s">
        <v>55</v>
      </c>
      <c r="S11" s="34"/>
      <c r="T11" s="34"/>
      <c r="U11" s="35"/>
      <c r="W11" s="51">
        <v>1</v>
      </c>
      <c r="X11" s="24">
        <f>$D$23</f>
        <v>0</v>
      </c>
      <c r="Y11" s="52">
        <f>X11/43560</f>
        <v>0</v>
      </c>
      <c r="Z11" s="24">
        <f>IF($D$24&lt;60,60,$D$24)</f>
        <v>60</v>
      </c>
      <c r="AA11" s="31">
        <f>(1000/Z11)-10</f>
        <v>6.666666666666668</v>
      </c>
      <c r="AB11" s="58">
        <f>IF(Y6-(0.2*AA11)&gt;0,(Y6-0.2*AA11)^2/(Y6+0.8*AA11),0)</f>
        <v>0</v>
      </c>
      <c r="AC11" s="54">
        <f>IF(Y6&gt;0,AB11*Y11,0)</f>
        <v>0</v>
      </c>
      <c r="AD11" s="24"/>
      <c r="AE11" s="51">
        <v>1</v>
      </c>
      <c r="AF11" s="24">
        <f>$D$23</f>
        <v>0</v>
      </c>
      <c r="AG11" s="52">
        <f>AF11/43560</f>
        <v>0</v>
      </c>
      <c r="AH11" s="24">
        <f>IF($D$24&lt;60,60,$D$24)</f>
        <v>60</v>
      </c>
      <c r="AI11" s="31">
        <f>(1000/AH11)-10</f>
        <v>6.666666666666668</v>
      </c>
      <c r="AJ11" s="58">
        <f>IF(AG6-(0.2*AI11)&gt;0,(AG6-0.2*AI11)^2/(AG6+0.8*AI11),0)</f>
        <v>0</v>
      </c>
      <c r="AK11" s="54">
        <f>IF(AG6&gt;0,AJ11*AG11,0)</f>
        <v>0</v>
      </c>
      <c r="AM11" s="51">
        <v>1</v>
      </c>
      <c r="AN11" s="24">
        <f>$D$23</f>
        <v>0</v>
      </c>
      <c r="AO11" s="52">
        <f>AN11/43560</f>
        <v>0</v>
      </c>
      <c r="AP11" s="24">
        <f>IF($D$24&lt;60,60,$D$24)</f>
        <v>60</v>
      </c>
      <c r="AQ11" s="31">
        <f>(1000/AP11)-10</f>
        <v>6.666666666666668</v>
      </c>
      <c r="AR11" s="58">
        <f>IF(AO6-(0.2*AQ11)&gt;0,(AO6-0.2*AQ11)^2/(AO6+0.8*AQ11),0)</f>
        <v>0</v>
      </c>
      <c r="AS11" s="54">
        <f>IF(AO6&gt;0,AR11*AO11,0)</f>
        <v>0</v>
      </c>
      <c r="AU11" s="51">
        <v>1</v>
      </c>
      <c r="AV11" s="24">
        <f>$D$23</f>
        <v>0</v>
      </c>
      <c r="AW11" s="52">
        <f>AV11/43560</f>
        <v>0</v>
      </c>
      <c r="AX11" s="24">
        <f>IF($D$24&lt;60,60,$D$24)</f>
        <v>60</v>
      </c>
      <c r="AY11" s="31">
        <f>(1000/AX11)-10</f>
        <v>6.666666666666668</v>
      </c>
      <c r="AZ11" s="58">
        <f>IF(AW6-(0.2*AY11)&gt;0,(AW6-0.2*AY11)^2/(AW6+0.8*AY11),0)</f>
        <v>0</v>
      </c>
      <c r="BA11" s="54">
        <f>IF(AW6&gt;0,AZ11*AW11,0)</f>
        <v>0</v>
      </c>
      <c r="BC11" s="51">
        <v>1</v>
      </c>
      <c r="BD11" s="24">
        <f>$D$23</f>
        <v>0</v>
      </c>
      <c r="BE11" s="52">
        <f>BD11/43560</f>
        <v>0</v>
      </c>
      <c r="BF11" s="24">
        <f>IF($D$24&lt;60,60,$D$24)</f>
        <v>60</v>
      </c>
      <c r="BG11" s="31">
        <f>(1000/BF11)-10</f>
        <v>6.666666666666668</v>
      </c>
      <c r="BH11" s="58">
        <f>IF(BE6-(0.2*BG11)&gt;0,(BE6-0.2*BG11)^2/(BE6+0.8*BG11),0)</f>
        <v>0</v>
      </c>
      <c r="BI11" s="54">
        <f>IF(BE6&gt;0,BH11*BE11,0)</f>
        <v>0</v>
      </c>
      <c r="BK11" s="51">
        <v>1</v>
      </c>
      <c r="BL11" s="24">
        <f>$D$23</f>
        <v>0</v>
      </c>
      <c r="BM11" s="52">
        <f>BL11/43560</f>
        <v>0</v>
      </c>
      <c r="BN11" s="24">
        <f>IF($D$24&lt;60,60,$D$24)</f>
        <v>60</v>
      </c>
      <c r="BO11" s="31">
        <f>(1000/BN11)-10</f>
        <v>6.666666666666668</v>
      </c>
      <c r="BP11" s="58">
        <f>IF(BM6-(0.2*BO11)&gt;0,(BM6-0.2*BO11)^2/(BM6+0.8*BO11),0)</f>
        <v>0</v>
      </c>
      <c r="BQ11" s="54">
        <f>IF(BM6&gt;0,BP11*BM11,0)</f>
        <v>0</v>
      </c>
      <c r="BS11" s="51">
        <v>1</v>
      </c>
      <c r="BT11" s="24">
        <f>$D$23</f>
        <v>0</v>
      </c>
      <c r="BU11" s="52">
        <f>BT11/43560</f>
        <v>0</v>
      </c>
      <c r="BV11" s="24">
        <f>IF($D$24&lt;60,60,$D$24)</f>
        <v>60</v>
      </c>
      <c r="BW11" s="31">
        <f>(1000/BV11)-10</f>
        <v>6.666666666666668</v>
      </c>
      <c r="BX11" s="58">
        <f>IF(BU6-(0.2*BW11)&gt;0,(BU6-0.2*BW11)^2/(BU6+0.8*BW11),0)</f>
        <v>0</v>
      </c>
      <c r="BY11" s="54">
        <f>IF(BU6&gt;0,BX11*BU11,0)</f>
        <v>0</v>
      </c>
      <c r="CA11" s="51">
        <v>1</v>
      </c>
      <c r="CB11" s="24">
        <f>$D$23</f>
        <v>0</v>
      </c>
      <c r="CC11" s="52">
        <f>CB11/43560</f>
        <v>0</v>
      </c>
      <c r="CD11" s="24">
        <f>IF($D$24&lt;60,60,$D$24)</f>
        <v>60</v>
      </c>
      <c r="CE11" s="31">
        <f>(1000/CD11)-10</f>
        <v>6.666666666666668</v>
      </c>
      <c r="CF11" s="58">
        <f>IF(CC6-(0.2*CE11)&gt;0,(CC6-0.2*CE11)^2/(CC6+0.8*CE11),0)</f>
        <v>0</v>
      </c>
      <c r="CG11" s="54">
        <f>IF(CC6&gt;0,CF11*CC11,0)</f>
        <v>0</v>
      </c>
      <c r="CI11" s="51">
        <v>1</v>
      </c>
      <c r="CJ11" s="24">
        <f>$D$23</f>
        <v>0</v>
      </c>
      <c r="CK11" s="52">
        <f>CJ11/43560</f>
        <v>0</v>
      </c>
      <c r="CL11" s="24">
        <f>IF($D$24&lt;60,60,$D$24)</f>
        <v>60</v>
      </c>
      <c r="CM11" s="31">
        <f>(1000/CL11)-10</f>
        <v>6.666666666666668</v>
      </c>
      <c r="CN11" s="58">
        <f>IF(CK6-(0.2*CM11)&gt;0,(CK6-0.2*CM11)^2/(CK6+0.8*CM11),0)</f>
        <v>0</v>
      </c>
      <c r="CO11" s="54">
        <f>IF(CK6&gt;0,CN11*CK11,0)</f>
        <v>0</v>
      </c>
      <c r="CQ11" s="51">
        <v>1</v>
      </c>
      <c r="CR11" s="24">
        <f>$D$23</f>
        <v>0</v>
      </c>
      <c r="CS11" s="52">
        <f>CR11/43560</f>
        <v>0</v>
      </c>
      <c r="CT11" s="24">
        <f>IF($D$24&lt;60,60,$D$24)</f>
        <v>60</v>
      </c>
      <c r="CU11" s="31">
        <f>(1000/CT11)-10</f>
        <v>6.666666666666668</v>
      </c>
      <c r="CV11" s="58">
        <f>IF(CS6-(0.2*CU11)&gt;0,(CS6-0.2*CU11)^2/(CS6+0.8*CU11),0)</f>
        <v>0</v>
      </c>
      <c r="CW11" s="54">
        <f>IF(CS6&gt;0,CV11*CS11,0)</f>
        <v>0</v>
      </c>
      <c r="CY11" s="51">
        <v>1</v>
      </c>
      <c r="CZ11" s="24">
        <f>$D$23</f>
        <v>0</v>
      </c>
      <c r="DA11" s="52">
        <f>CZ11/43560</f>
        <v>0</v>
      </c>
      <c r="DB11" s="24">
        <f>IF($D$24&lt;60,60,$D$24)</f>
        <v>60</v>
      </c>
      <c r="DC11" s="31">
        <f>(1000/DB11)-10</f>
        <v>6.666666666666668</v>
      </c>
      <c r="DD11" s="58">
        <f>IF(DA6-(0.2*DC11)&gt;0,(DA6-0.2*DC11)^2/(DA6+0.8*DC11),0)</f>
        <v>0</v>
      </c>
      <c r="DE11" s="54">
        <f>IF(DA6&gt;0,DD11*DA11,0)</f>
        <v>0</v>
      </c>
      <c r="DG11" s="51">
        <v>1</v>
      </c>
      <c r="DH11" s="24">
        <f>$D$23</f>
        <v>0</v>
      </c>
      <c r="DI11" s="52">
        <f>DH11/43560</f>
        <v>0</v>
      </c>
      <c r="DJ11" s="24">
        <f>IF($D$24&lt;60,60,$D$24)</f>
        <v>60</v>
      </c>
      <c r="DK11" s="31">
        <f>(1000/DJ11)-10</f>
        <v>6.666666666666668</v>
      </c>
      <c r="DL11" s="58">
        <f>IF(DI6-(0.2*DK11)&gt;0,(DI6-0.2*DK11)^2/(DI6+0.8*DK11),0)</f>
        <v>0</v>
      </c>
      <c r="DM11" s="54">
        <f>IF(DI6&gt;0,DL11*DI11,0)</f>
        <v>0</v>
      </c>
      <c r="DO11" s="51">
        <v>1</v>
      </c>
      <c r="DP11" s="24">
        <f>$D$23</f>
        <v>0</v>
      </c>
      <c r="DQ11" s="52">
        <f>DP11/43560</f>
        <v>0</v>
      </c>
      <c r="DR11" s="24">
        <f>IF($D$24&lt;60,60,$D$24)</f>
        <v>60</v>
      </c>
      <c r="DS11" s="31">
        <f>(1000/DR11)-10</f>
        <v>6.666666666666668</v>
      </c>
      <c r="DT11" s="58">
        <f>IF(DQ6-(0.2*DS11)&gt;0,(DQ6-0.2*DS11)^2/(DQ6+0.8*DS11),0)</f>
        <v>0</v>
      </c>
      <c r="DU11" s="54">
        <f>IF(DQ6&gt;0,DT11*DQ11,0)</f>
        <v>0</v>
      </c>
      <c r="DW11" s="51">
        <v>1</v>
      </c>
      <c r="DX11" s="24">
        <f>$D$23</f>
        <v>0</v>
      </c>
      <c r="DY11" s="52">
        <f>DX11/43560</f>
        <v>0</v>
      </c>
      <c r="DZ11" s="24">
        <f>IF($D$24&lt;60,60,$D$24)</f>
        <v>60</v>
      </c>
      <c r="EA11" s="31">
        <f>(1000/DZ11)-10</f>
        <v>6.666666666666668</v>
      </c>
      <c r="EB11" s="58">
        <f>IF(DY6-(0.2*EA11)&gt;0,(DY6-0.2*EA11)^2/(DY6+0.8*EA11),0)</f>
        <v>0</v>
      </c>
      <c r="EC11" s="54">
        <f>IF(DY6&gt;0,EB11*DY11,0)</f>
        <v>0</v>
      </c>
      <c r="EE11" s="51">
        <v>1</v>
      </c>
      <c r="EF11" s="24">
        <f>$D$23</f>
        <v>0</v>
      </c>
      <c r="EG11" s="52">
        <f>EF11/43560</f>
        <v>0</v>
      </c>
      <c r="EH11" s="24">
        <f>IF($D$24&lt;60,60,$D$24)</f>
        <v>60</v>
      </c>
      <c r="EI11" s="31">
        <f>(1000/EH11)-10</f>
        <v>6.666666666666668</v>
      </c>
      <c r="EJ11" s="58">
        <f>IF(EG6-(0.2*EI11)&gt;0,(EG6-0.2*EI11)^2/(EG6+0.8*EI11),0)</f>
        <v>0</v>
      </c>
      <c r="EK11" s="54">
        <f>IF(EG6&gt;0,EJ11*EG11,0)</f>
        <v>0</v>
      </c>
      <c r="EM11" s="51">
        <v>1</v>
      </c>
      <c r="EN11" s="24">
        <f>$D$23</f>
        <v>0</v>
      </c>
      <c r="EO11" s="52">
        <f>EN11/43560</f>
        <v>0</v>
      </c>
      <c r="EP11" s="24">
        <f>IF($D$24&lt;60,60,$D$24)</f>
        <v>60</v>
      </c>
      <c r="EQ11" s="31">
        <f>(1000/EP11)-10</f>
        <v>6.666666666666668</v>
      </c>
      <c r="ER11" s="58">
        <f>IF(EO6-(0.2*EQ11)&gt;0,(EO6-0.2*EQ11)^2/(EO6+0.8*EQ11),0)</f>
        <v>0</v>
      </c>
      <c r="ES11" s="54">
        <f>IF(EO6&gt;0,ER11*EO11,0)</f>
        <v>0</v>
      </c>
      <c r="EU11" s="51">
        <v>1</v>
      </c>
      <c r="EV11" s="24">
        <f>$D$23</f>
        <v>0</v>
      </c>
      <c r="EW11" s="52">
        <f>EV11/43560</f>
        <v>0</v>
      </c>
      <c r="EX11" s="24">
        <f>IF($D$24&lt;60,60,$D$24)</f>
        <v>60</v>
      </c>
      <c r="EY11" s="31">
        <f>(1000/EX11)-10</f>
        <v>6.666666666666668</v>
      </c>
      <c r="EZ11" s="58">
        <f>IF(EW6-(0.2*EY11)&gt;0,(EW6-0.2*EY11)^2/(EW6+0.8*EY11),0)</f>
        <v>0</v>
      </c>
      <c r="FA11" s="54">
        <f>IF(EW6&gt;0,EZ11*EW11,0)</f>
        <v>0</v>
      </c>
      <c r="FC11" s="51">
        <v>1</v>
      </c>
      <c r="FD11" s="24">
        <f>$D$23</f>
        <v>0</v>
      </c>
      <c r="FE11" s="52">
        <f>FD11/43560</f>
        <v>0</v>
      </c>
      <c r="FF11" s="24">
        <f>IF($D$24&lt;60,60,$D$24)</f>
        <v>60</v>
      </c>
      <c r="FG11" s="31">
        <f>(1000/FF11)-10</f>
        <v>6.666666666666668</v>
      </c>
      <c r="FH11" s="58">
        <f>IF(FE6-(0.2*FG11)&gt;0,(FE6-0.2*FG11)^2/(FE6+0.8*FG11),0)</f>
        <v>0</v>
      </c>
      <c r="FI11" s="54">
        <f>IF(FE6&gt;0,FH11*FE11,0)</f>
        <v>0</v>
      </c>
      <c r="FK11" s="51">
        <v>1</v>
      </c>
      <c r="FL11" s="24">
        <f>$D$23</f>
        <v>0</v>
      </c>
      <c r="FM11" s="52">
        <f>FL11/43560</f>
        <v>0</v>
      </c>
      <c r="FN11" s="24">
        <f>IF($D$24&lt;60,60,$D$24)</f>
        <v>60</v>
      </c>
      <c r="FO11" s="31">
        <f>(1000/FN11)-10</f>
        <v>6.666666666666668</v>
      </c>
      <c r="FP11" s="58">
        <f>IF(FM6-(0.2*FO11)&gt;0,(FM6-0.2*FO11)^2/(FM6+0.8*FO11),0)</f>
        <v>0</v>
      </c>
      <c r="FQ11" s="54">
        <f>IF(FM6&gt;0,FP11*FM11,0)</f>
        <v>0</v>
      </c>
      <c r="FS11" s="51">
        <v>1</v>
      </c>
      <c r="FT11" s="24">
        <f>$D$23</f>
        <v>0</v>
      </c>
      <c r="FU11" s="52">
        <f>FT11/43560</f>
        <v>0</v>
      </c>
      <c r="FV11" s="24">
        <f>IF($D$24&lt;60,60,$D$24)</f>
        <v>60</v>
      </c>
      <c r="FW11" s="31">
        <f>(1000/FV11)-10</f>
        <v>6.666666666666668</v>
      </c>
      <c r="FX11" s="58">
        <f>IF(FU6-(0.2*FW11)&gt;0,(FU6-0.2*FW11)^2/(FU6+0.8*FW11),0)</f>
        <v>0</v>
      </c>
      <c r="FY11" s="54">
        <f>IF(FU6&gt;0,FX11*FU11,0)</f>
        <v>0</v>
      </c>
      <c r="GA11" s="51">
        <v>1</v>
      </c>
      <c r="GB11" s="24">
        <f>$D$23</f>
        <v>0</v>
      </c>
      <c r="GC11" s="52">
        <f>GB11/43560</f>
        <v>0</v>
      </c>
      <c r="GD11" s="24">
        <f>IF($D$24&lt;60,60,$D$24)</f>
        <v>60</v>
      </c>
      <c r="GE11" s="31">
        <f>(1000/GD11)-10</f>
        <v>6.666666666666668</v>
      </c>
      <c r="GF11" s="58">
        <f>IF(GC6-(0.2*GE11)&gt;0,(GC6-0.2*GE11)^2/(GC6+0.8*GE11),0)</f>
        <v>0</v>
      </c>
      <c r="GG11" s="54">
        <f>IF(GC6&gt;0,GF11*GC11,0)</f>
        <v>0</v>
      </c>
      <c r="GI11" s="51">
        <v>1</v>
      </c>
      <c r="GJ11" s="24">
        <f>$D$23</f>
        <v>0</v>
      </c>
      <c r="GK11" s="52">
        <f>GJ11/43560</f>
        <v>0</v>
      </c>
      <c r="GL11" s="24">
        <f>IF($D$24&lt;60,60,$D$24)</f>
        <v>60</v>
      </c>
      <c r="GM11" s="31">
        <f>(1000/GL11)-10</f>
        <v>6.666666666666668</v>
      </c>
      <c r="GN11" s="58">
        <f>IF(GK6-(0.2*GM11)&gt;0,(GK6-0.2*GM11)^2/(GK6+0.8*GM11),0)</f>
        <v>0</v>
      </c>
      <c r="GO11" s="54">
        <f>IF(GK6&gt;0,GN11*GK11,0)</f>
        <v>0</v>
      </c>
    </row>
    <row r="12" spans="1:197" ht="14.25">
      <c r="A12" s="120"/>
      <c r="B12" s="120"/>
      <c r="C12" s="148" t="s">
        <v>57</v>
      </c>
      <c r="D12" s="120"/>
      <c r="E12" s="151">
        <f>D10+D11</f>
        <v>0</v>
      </c>
      <c r="F12" s="120" t="s">
        <v>10</v>
      </c>
      <c r="G12" s="120"/>
      <c r="H12" s="121"/>
      <c r="I12" s="121"/>
      <c r="K12" s="55">
        <v>2</v>
      </c>
      <c r="L12" s="34">
        <f>$F$23</f>
        <v>0</v>
      </c>
      <c r="M12" s="47">
        <f>L12/43560</f>
        <v>0</v>
      </c>
      <c r="N12" s="34">
        <f>IF($F$24&lt;60,60,$F$24)</f>
        <v>60</v>
      </c>
      <c r="O12" s="49">
        <f>(1000/N12)-10</f>
        <v>6.666666666666668</v>
      </c>
      <c r="P12" s="49">
        <f>IF($T$22-(0.2*O12)&gt;0,($T$22-0.2*O12)^2/($T$22+0.8*O12),0)</f>
        <v>0.6661800486618</v>
      </c>
      <c r="Q12" s="49">
        <f>IF($T$22&gt;0,P12*M12,0)</f>
        <v>0</v>
      </c>
      <c r="R12" s="32" t="s">
        <v>56</v>
      </c>
      <c r="S12" s="34"/>
      <c r="T12" s="34"/>
      <c r="U12" s="35"/>
      <c r="W12" s="51">
        <v>2</v>
      </c>
      <c r="X12" s="24">
        <f>$F$23</f>
        <v>0</v>
      </c>
      <c r="Y12" s="52">
        <f>X12/43560</f>
        <v>0</v>
      </c>
      <c r="Z12" s="24">
        <f>IF($F$24&lt;60,60,$F$24)</f>
        <v>60</v>
      </c>
      <c r="AA12" s="31">
        <f>(1000/Z12)-10</f>
        <v>6.666666666666668</v>
      </c>
      <c r="AB12" s="58">
        <f>IF(Y6-(0.2*AA12)&gt;0,(Y6-0.2*AA12)^2/(Y6+0.8*AA12),0)</f>
        <v>0</v>
      </c>
      <c r="AC12" s="54">
        <f>IF(Y6&gt;0,AB12*Y12,0)</f>
        <v>0</v>
      </c>
      <c r="AD12" s="24"/>
      <c r="AE12" s="51">
        <v>2</v>
      </c>
      <c r="AF12" s="24">
        <f>$F$23</f>
        <v>0</v>
      </c>
      <c r="AG12" s="52">
        <f>AF12/43560</f>
        <v>0</v>
      </c>
      <c r="AH12" s="24">
        <f>IF($F$24&lt;60,60,$F$24)</f>
        <v>60</v>
      </c>
      <c r="AI12" s="31">
        <f>(1000/AH12)-10</f>
        <v>6.666666666666668</v>
      </c>
      <c r="AJ12" s="58">
        <f>IF(AG6-(0.2*AI12)&gt;0,(AG6-0.2*AI12)^2/(AG6+0.8*AI12),0)</f>
        <v>0</v>
      </c>
      <c r="AK12" s="54">
        <f>IF(AG6&gt;0,AJ12*AG12,0)</f>
        <v>0</v>
      </c>
      <c r="AM12" s="51">
        <v>2</v>
      </c>
      <c r="AN12" s="24">
        <f>$F$23</f>
        <v>0</v>
      </c>
      <c r="AO12" s="52">
        <f>AN12/43560</f>
        <v>0</v>
      </c>
      <c r="AP12" s="24">
        <f>IF($F$24&lt;60,60,$F$24)</f>
        <v>60</v>
      </c>
      <c r="AQ12" s="31">
        <f>(1000/AP12)-10</f>
        <v>6.666666666666668</v>
      </c>
      <c r="AR12" s="58">
        <f>IF(AO6-(0.2*AQ12)&gt;0,(AO6-0.2*AQ12)^2/(AO6+0.8*AQ12),0)</f>
        <v>0</v>
      </c>
      <c r="AS12" s="54">
        <f>IF(AO6&gt;0,AR12*AO12,0)</f>
        <v>0</v>
      </c>
      <c r="AU12" s="51">
        <v>2</v>
      </c>
      <c r="AV12" s="24">
        <f>$F$23</f>
        <v>0</v>
      </c>
      <c r="AW12" s="52">
        <f>AV12/43560</f>
        <v>0</v>
      </c>
      <c r="AX12" s="24">
        <f>IF($F$24&lt;60,60,$F$24)</f>
        <v>60</v>
      </c>
      <c r="AY12" s="31">
        <f>(1000/AX12)-10</f>
        <v>6.666666666666668</v>
      </c>
      <c r="AZ12" s="58">
        <f>IF(AW6-(0.2*AY12)&gt;0,(AW6-0.2*AY12)^2/(AW6+0.8*AY12),0)</f>
        <v>0</v>
      </c>
      <c r="BA12" s="54">
        <f>IF(AW6&gt;0,AZ12*AW12,0)</f>
        <v>0</v>
      </c>
      <c r="BC12" s="51">
        <v>2</v>
      </c>
      <c r="BD12" s="24">
        <f>$F$23</f>
        <v>0</v>
      </c>
      <c r="BE12" s="52">
        <f>BD12/43560</f>
        <v>0</v>
      </c>
      <c r="BF12" s="24">
        <f>IF($F$24&lt;60,60,$F$24)</f>
        <v>60</v>
      </c>
      <c r="BG12" s="31">
        <f>(1000/BF12)-10</f>
        <v>6.666666666666668</v>
      </c>
      <c r="BH12" s="58">
        <f>IF(BE6-(0.2*BG12)&gt;0,(BE6-0.2*BG12)^2/(BE6+0.8*BG12),0)</f>
        <v>0</v>
      </c>
      <c r="BI12" s="54">
        <f>IF(BE6&gt;0,BH12*BE12,0)</f>
        <v>0</v>
      </c>
      <c r="BK12" s="51">
        <v>2</v>
      </c>
      <c r="BL12" s="24">
        <f>$F$23</f>
        <v>0</v>
      </c>
      <c r="BM12" s="52">
        <f>BL12/43560</f>
        <v>0</v>
      </c>
      <c r="BN12" s="24">
        <f>IF($F$24&lt;60,60,$F$24)</f>
        <v>60</v>
      </c>
      <c r="BO12" s="31">
        <f>(1000/BN12)-10</f>
        <v>6.666666666666668</v>
      </c>
      <c r="BP12" s="58">
        <f>IF(BM6-(0.2*BO12)&gt;0,(BM6-0.2*BO12)^2/(BM6+0.8*BO12),0)</f>
        <v>0</v>
      </c>
      <c r="BQ12" s="54">
        <f>IF(BM6&gt;0,BP12*BM12,0)</f>
        <v>0</v>
      </c>
      <c r="BS12" s="51">
        <v>2</v>
      </c>
      <c r="BT12" s="24">
        <f>$F$23</f>
        <v>0</v>
      </c>
      <c r="BU12" s="52">
        <f>BT12/43560</f>
        <v>0</v>
      </c>
      <c r="BV12" s="24">
        <f>IF($F$24&lt;60,60,$F$24)</f>
        <v>60</v>
      </c>
      <c r="BW12" s="31">
        <f>(1000/BV12)-10</f>
        <v>6.666666666666668</v>
      </c>
      <c r="BX12" s="58">
        <f>IF(BU6-(0.2*BW12)&gt;0,(BU6-0.2*BW12)^2/(BU6+0.8*BW12),0)</f>
        <v>0</v>
      </c>
      <c r="BY12" s="54">
        <f>IF(BU6&gt;0,BX12*BU12,0)</f>
        <v>0</v>
      </c>
      <c r="CA12" s="51">
        <v>2</v>
      </c>
      <c r="CB12" s="24">
        <f>$F$23</f>
        <v>0</v>
      </c>
      <c r="CC12" s="52">
        <f>CB12/43560</f>
        <v>0</v>
      </c>
      <c r="CD12" s="24">
        <f>IF($F$24&lt;60,60,$F$24)</f>
        <v>60</v>
      </c>
      <c r="CE12" s="31">
        <f>(1000/CD12)-10</f>
        <v>6.666666666666668</v>
      </c>
      <c r="CF12" s="58">
        <f>IF(CC6-(0.2*CE12)&gt;0,(CC6-0.2*CE12)^2/(CC6+0.8*CE12),0)</f>
        <v>0</v>
      </c>
      <c r="CG12" s="54">
        <f>IF(CC6&gt;0,CF12*CC12,0)</f>
        <v>0</v>
      </c>
      <c r="CI12" s="51">
        <v>2</v>
      </c>
      <c r="CJ12" s="24">
        <f>$F$23</f>
        <v>0</v>
      </c>
      <c r="CK12" s="52">
        <f>CJ12/43560</f>
        <v>0</v>
      </c>
      <c r="CL12" s="24">
        <f>IF($F$24&lt;60,60,$F$24)</f>
        <v>60</v>
      </c>
      <c r="CM12" s="31">
        <f>(1000/CL12)-10</f>
        <v>6.666666666666668</v>
      </c>
      <c r="CN12" s="58">
        <f>IF(CK6-(0.2*CM12)&gt;0,(CK6-0.2*CM12)^2/(CK6+0.8*CM12),0)</f>
        <v>0</v>
      </c>
      <c r="CO12" s="54">
        <f>IF(CK6&gt;0,CN12*CK12,0)</f>
        <v>0</v>
      </c>
      <c r="CQ12" s="51">
        <v>2</v>
      </c>
      <c r="CR12" s="24">
        <f>$F$23</f>
        <v>0</v>
      </c>
      <c r="CS12" s="52">
        <f>CR12/43560</f>
        <v>0</v>
      </c>
      <c r="CT12" s="24">
        <f>IF($F$24&lt;60,60,$F$24)</f>
        <v>60</v>
      </c>
      <c r="CU12" s="31">
        <f>(1000/CT12)-10</f>
        <v>6.666666666666668</v>
      </c>
      <c r="CV12" s="58">
        <f>IF(CS6-(0.2*CU12)&gt;0,(CS6-0.2*CU12)^2/(CS6+0.8*CU12),0)</f>
        <v>0</v>
      </c>
      <c r="CW12" s="54">
        <f>IF(CS6&gt;0,CV12*CS12,0)</f>
        <v>0</v>
      </c>
      <c r="CY12" s="51">
        <v>2</v>
      </c>
      <c r="CZ12" s="24">
        <f>$F$23</f>
        <v>0</v>
      </c>
      <c r="DA12" s="52">
        <f>CZ12/43560</f>
        <v>0</v>
      </c>
      <c r="DB12" s="24">
        <f>IF($F$24&lt;60,60,$F$24)</f>
        <v>60</v>
      </c>
      <c r="DC12" s="31">
        <f>(1000/DB12)-10</f>
        <v>6.666666666666668</v>
      </c>
      <c r="DD12" s="58">
        <f>IF(DA6-(0.2*DC12)&gt;0,(DA6-0.2*DC12)^2/(DA6+0.8*DC12),0)</f>
        <v>0</v>
      </c>
      <c r="DE12" s="54">
        <f>IF(DA6&gt;0,DD12*DA12,0)</f>
        <v>0</v>
      </c>
      <c r="DG12" s="51">
        <v>2</v>
      </c>
      <c r="DH12" s="24">
        <f>$F$23</f>
        <v>0</v>
      </c>
      <c r="DI12" s="52">
        <f>DH12/43560</f>
        <v>0</v>
      </c>
      <c r="DJ12" s="24">
        <f>IF($F$24&lt;60,60,$F$24)</f>
        <v>60</v>
      </c>
      <c r="DK12" s="31">
        <f>(1000/DJ12)-10</f>
        <v>6.666666666666668</v>
      </c>
      <c r="DL12" s="58">
        <f>IF(DI6-(0.2*DK12)&gt;0,(DI6-0.2*DK12)^2/(DI6+0.8*DK12),0)</f>
        <v>0</v>
      </c>
      <c r="DM12" s="54">
        <f>IF(DI6&gt;0,DL12*DI12,0)</f>
        <v>0</v>
      </c>
      <c r="DO12" s="51">
        <v>2</v>
      </c>
      <c r="DP12" s="24">
        <f>$F$23</f>
        <v>0</v>
      </c>
      <c r="DQ12" s="52">
        <f>DP12/43560</f>
        <v>0</v>
      </c>
      <c r="DR12" s="24">
        <f>IF($F$24&lt;60,60,$F$24)</f>
        <v>60</v>
      </c>
      <c r="DS12" s="31">
        <f>(1000/DR12)-10</f>
        <v>6.666666666666668</v>
      </c>
      <c r="DT12" s="58">
        <f>IF(DQ6-(0.2*DS12)&gt;0,(DQ6-0.2*DS12)^2/(DQ6+0.8*DS12),0)</f>
        <v>0</v>
      </c>
      <c r="DU12" s="54">
        <f>IF(DQ6&gt;0,DT12*DQ12,0)</f>
        <v>0</v>
      </c>
      <c r="DW12" s="51">
        <v>2</v>
      </c>
      <c r="DX12" s="24">
        <f>$F$23</f>
        <v>0</v>
      </c>
      <c r="DY12" s="52">
        <f>DX12/43560</f>
        <v>0</v>
      </c>
      <c r="DZ12" s="24">
        <f>IF($F$24&lt;60,60,$F$24)</f>
        <v>60</v>
      </c>
      <c r="EA12" s="31">
        <f>(1000/DZ12)-10</f>
        <v>6.666666666666668</v>
      </c>
      <c r="EB12" s="58">
        <f>IF(DY6-(0.2*EA12)&gt;0,(DY6-0.2*EA12)^2/(DY6+0.8*EA12),0)</f>
        <v>0</v>
      </c>
      <c r="EC12" s="54">
        <f>IF(DY6&gt;0,EB12*DY12,0)</f>
        <v>0</v>
      </c>
      <c r="EE12" s="51">
        <v>2</v>
      </c>
      <c r="EF12" s="24">
        <f>$F$23</f>
        <v>0</v>
      </c>
      <c r="EG12" s="52">
        <f>EF12/43560</f>
        <v>0</v>
      </c>
      <c r="EH12" s="24">
        <f>IF($F$24&lt;60,60,$F$24)</f>
        <v>60</v>
      </c>
      <c r="EI12" s="31">
        <f>(1000/EH12)-10</f>
        <v>6.666666666666668</v>
      </c>
      <c r="EJ12" s="58">
        <f>IF(EG6-(0.2*EI12)&gt;0,(EG6-0.2*EI12)^2/(EG6+0.8*EI12),0)</f>
        <v>0</v>
      </c>
      <c r="EK12" s="54">
        <f>IF(EG6&gt;0,EJ12*EG12,0)</f>
        <v>0</v>
      </c>
      <c r="EM12" s="51">
        <v>2</v>
      </c>
      <c r="EN12" s="24">
        <f>$F$23</f>
        <v>0</v>
      </c>
      <c r="EO12" s="52">
        <f>EN12/43560</f>
        <v>0</v>
      </c>
      <c r="EP12" s="24">
        <f>IF($F$24&lt;60,60,$F$24)</f>
        <v>60</v>
      </c>
      <c r="EQ12" s="31">
        <f>(1000/EP12)-10</f>
        <v>6.666666666666668</v>
      </c>
      <c r="ER12" s="58">
        <f>IF(EO6-(0.2*EQ12)&gt;0,(EO6-0.2*EQ12)^2/(EO6+0.8*EQ12),0)</f>
        <v>0</v>
      </c>
      <c r="ES12" s="54">
        <f>IF(EO6&gt;0,ER12*EO12,0)</f>
        <v>0</v>
      </c>
      <c r="EU12" s="51">
        <v>2</v>
      </c>
      <c r="EV12" s="24">
        <f>$F$23</f>
        <v>0</v>
      </c>
      <c r="EW12" s="52">
        <f>EV12/43560</f>
        <v>0</v>
      </c>
      <c r="EX12" s="24">
        <f>IF($F$24&lt;60,60,$F$24)</f>
        <v>60</v>
      </c>
      <c r="EY12" s="31">
        <f>(1000/EX12)-10</f>
        <v>6.666666666666668</v>
      </c>
      <c r="EZ12" s="58">
        <f>IF(EW6-(0.2*EY12)&gt;0,(EW6-0.2*EY12)^2/(EW6+0.8*EY12),0)</f>
        <v>0</v>
      </c>
      <c r="FA12" s="54">
        <f>IF(EW6&gt;0,EZ12*EW12,0)</f>
        <v>0</v>
      </c>
      <c r="FC12" s="51">
        <v>2</v>
      </c>
      <c r="FD12" s="24">
        <f>$F$23</f>
        <v>0</v>
      </c>
      <c r="FE12" s="52">
        <f>FD12/43560</f>
        <v>0</v>
      </c>
      <c r="FF12" s="24">
        <f>IF($F$24&lt;60,60,$F$24)</f>
        <v>60</v>
      </c>
      <c r="FG12" s="31">
        <f>(1000/FF12)-10</f>
        <v>6.666666666666668</v>
      </c>
      <c r="FH12" s="58">
        <f>IF(FE6-(0.2*FG12)&gt;0,(FE6-0.2*FG12)^2/(FE6+0.8*FG12),0)</f>
        <v>0</v>
      </c>
      <c r="FI12" s="54">
        <f>IF(FE6&gt;0,FH12*FE12,0)</f>
        <v>0</v>
      </c>
      <c r="FK12" s="51">
        <v>2</v>
      </c>
      <c r="FL12" s="24">
        <f>$F$23</f>
        <v>0</v>
      </c>
      <c r="FM12" s="52">
        <f>FL12/43560</f>
        <v>0</v>
      </c>
      <c r="FN12" s="24">
        <f>IF($F$24&lt;60,60,$F$24)</f>
        <v>60</v>
      </c>
      <c r="FO12" s="31">
        <f>(1000/FN12)-10</f>
        <v>6.666666666666668</v>
      </c>
      <c r="FP12" s="58">
        <f>IF(FM6-(0.2*FO12)&gt;0,(FM6-0.2*FO12)^2/(FM6+0.8*FO12),0)</f>
        <v>0</v>
      </c>
      <c r="FQ12" s="54">
        <f>IF(FM6&gt;0,FP12*FM12,0)</f>
        <v>0</v>
      </c>
      <c r="FS12" s="51">
        <v>2</v>
      </c>
      <c r="FT12" s="24">
        <f>$F$23</f>
        <v>0</v>
      </c>
      <c r="FU12" s="52">
        <f>FT12/43560</f>
        <v>0</v>
      </c>
      <c r="FV12" s="24">
        <f>IF($F$24&lt;60,60,$F$24)</f>
        <v>60</v>
      </c>
      <c r="FW12" s="31">
        <f>(1000/FV12)-10</f>
        <v>6.666666666666668</v>
      </c>
      <c r="FX12" s="58">
        <f>IF(FU6-(0.2*FW12)&gt;0,(FU6-0.2*FW12)^2/(FU6+0.8*FW12),0)</f>
        <v>0</v>
      </c>
      <c r="FY12" s="54">
        <f>IF(FU6&gt;0,FX12*FU12,0)</f>
        <v>0</v>
      </c>
      <c r="GA12" s="51">
        <v>2</v>
      </c>
      <c r="GB12" s="24">
        <f>$F$23</f>
        <v>0</v>
      </c>
      <c r="GC12" s="52">
        <f>GB12/43560</f>
        <v>0</v>
      </c>
      <c r="GD12" s="24">
        <f>IF($F$24&lt;60,60,$F$24)</f>
        <v>60</v>
      </c>
      <c r="GE12" s="31">
        <f>(1000/GD12)-10</f>
        <v>6.666666666666668</v>
      </c>
      <c r="GF12" s="58">
        <f>IF(GC6-(0.2*GE12)&gt;0,(GC6-0.2*GE12)^2/(GC6+0.8*GE12),0)</f>
        <v>0</v>
      </c>
      <c r="GG12" s="54">
        <f>IF(GC6&gt;0,GF12*GC12,0)</f>
        <v>0</v>
      </c>
      <c r="GI12" s="51">
        <v>2</v>
      </c>
      <c r="GJ12" s="24">
        <f>$F$23</f>
        <v>0</v>
      </c>
      <c r="GK12" s="52">
        <f>GJ12/43560</f>
        <v>0</v>
      </c>
      <c r="GL12" s="24">
        <f>IF($F$24&lt;60,60,$F$24)</f>
        <v>60</v>
      </c>
      <c r="GM12" s="31">
        <f>(1000/GL12)-10</f>
        <v>6.666666666666668</v>
      </c>
      <c r="GN12" s="58">
        <f>IF(GK6-(0.2*GM12)&gt;0,(GK6-0.2*GM12)^2/(GK6+0.8*GM12),0)</f>
        <v>0</v>
      </c>
      <c r="GO12" s="54">
        <f>IF(GK6&gt;0,GN12*GK12,0)</f>
        <v>0</v>
      </c>
    </row>
    <row r="13" spans="1:197" ht="14.25">
      <c r="A13" s="120"/>
      <c r="B13" s="120"/>
      <c r="C13" s="152" t="s">
        <v>268</v>
      </c>
      <c r="D13" s="117"/>
      <c r="E13" s="120"/>
      <c r="F13" s="120" t="s">
        <v>60</v>
      </c>
      <c r="G13" s="120"/>
      <c r="H13" s="153"/>
      <c r="I13" s="154"/>
      <c r="K13" s="59" t="s">
        <v>58</v>
      </c>
      <c r="L13" s="38">
        <f>$D$26</f>
        <v>0</v>
      </c>
      <c r="M13" s="60">
        <f>L13/43560</f>
        <v>0</v>
      </c>
      <c r="N13" s="38">
        <v>98</v>
      </c>
      <c r="O13" s="61">
        <f>(1000/N13)-10</f>
        <v>0.204081632653061</v>
      </c>
      <c r="P13" s="61">
        <f>($T$22-0.2*O13)^2/($T$22+0.8*O13)</f>
        <v>3.5656108787490277</v>
      </c>
      <c r="Q13" s="61">
        <f>IF($T$22&gt;0,P13*M13,0)</f>
        <v>0</v>
      </c>
      <c r="R13" s="32"/>
      <c r="S13" s="34"/>
      <c r="T13" s="34"/>
      <c r="U13" s="35"/>
      <c r="W13" s="63" t="s">
        <v>58</v>
      </c>
      <c r="X13" s="64">
        <f>$D$26</f>
        <v>0</v>
      </c>
      <c r="Y13" s="65">
        <f>X13/43560</f>
        <v>0</v>
      </c>
      <c r="Z13" s="64">
        <v>98</v>
      </c>
      <c r="AA13" s="66">
        <f>(1000/Z13)-10</f>
        <v>0.204081632653061</v>
      </c>
      <c r="AB13" s="66">
        <f>(Y6-0.2*AA13)^2/(Y6+0.8*AA13)</f>
        <v>0.11350205656032913</v>
      </c>
      <c r="AC13" s="67">
        <f>IF(Y6&gt;0,AB13*Y13,0)</f>
        <v>0</v>
      </c>
      <c r="AD13" s="24"/>
      <c r="AE13" s="63" t="s">
        <v>58</v>
      </c>
      <c r="AF13" s="64">
        <f>$D$26</f>
        <v>0</v>
      </c>
      <c r="AG13" s="65">
        <f>AF13/43560</f>
        <v>0</v>
      </c>
      <c r="AH13" s="64">
        <v>98</v>
      </c>
      <c r="AI13" s="66">
        <f>(1000/AH13)-10</f>
        <v>0.204081632653061</v>
      </c>
      <c r="AJ13" s="66">
        <f>(AG6-0.2*AI13)^2/(AG6+0.8*AI13)</f>
        <v>0.027121270219987826</v>
      </c>
      <c r="AK13" s="67">
        <f>IF(AG6&gt;0,AJ13*AG13,0)</f>
        <v>0</v>
      </c>
      <c r="AM13" s="63" t="s">
        <v>58</v>
      </c>
      <c r="AN13" s="64">
        <f>$D$26</f>
        <v>0</v>
      </c>
      <c r="AO13" s="65">
        <f>AN13/43560</f>
        <v>0</v>
      </c>
      <c r="AP13" s="64">
        <v>98</v>
      </c>
      <c r="AQ13" s="66">
        <f>(1000/AP13)-10</f>
        <v>0.204081632653061</v>
      </c>
      <c r="AR13" s="66">
        <f>(AO6-0.2*AQ13)^2/(AO6+0.8*AQ13)</f>
        <v>0.013304856826451538</v>
      </c>
      <c r="AS13" s="67">
        <f>IF(AO6&gt;0,AR13*AO13,0)</f>
        <v>0</v>
      </c>
      <c r="AU13" s="63" t="s">
        <v>58</v>
      </c>
      <c r="AV13" s="64">
        <f>$D$26</f>
        <v>0</v>
      </c>
      <c r="AW13" s="65">
        <f>AV13/43560</f>
        <v>0</v>
      </c>
      <c r="AX13" s="64">
        <v>98</v>
      </c>
      <c r="AY13" s="66">
        <f>(1000/AX13)-10</f>
        <v>0.204081632653061</v>
      </c>
      <c r="AZ13" s="66">
        <f>(AW6-0.2*AY13)^2/(AW6+0.8*AY13)</f>
        <v>0.013304856826451538</v>
      </c>
      <c r="BA13" s="67">
        <f>IF(AW6&gt;0,AZ13*AW13,0)</f>
        <v>0</v>
      </c>
      <c r="BC13" s="63" t="s">
        <v>58</v>
      </c>
      <c r="BD13" s="64">
        <f>$D$26</f>
        <v>0</v>
      </c>
      <c r="BE13" s="65">
        <f>BD13/43560</f>
        <v>0</v>
      </c>
      <c r="BF13" s="64">
        <v>98</v>
      </c>
      <c r="BG13" s="66">
        <f>(1000/BF13)-10</f>
        <v>0.204081632653061</v>
      </c>
      <c r="BH13" s="66">
        <f>(BE6-0.2*BG13)^2/(BE6+0.8*BG13)</f>
        <v>0.013304856826451538</v>
      </c>
      <c r="BI13" s="67">
        <f>IF(BE6&gt;0,BH13*BE13,0)</f>
        <v>0</v>
      </c>
      <c r="BK13" s="63" t="s">
        <v>58</v>
      </c>
      <c r="BL13" s="64">
        <f>$D$26</f>
        <v>0</v>
      </c>
      <c r="BM13" s="65">
        <f>BL13/43560</f>
        <v>0</v>
      </c>
      <c r="BN13" s="64">
        <v>98</v>
      </c>
      <c r="BO13" s="66">
        <f>(1000/BN13)-10</f>
        <v>0.204081632653061</v>
      </c>
      <c r="BP13" s="66">
        <f>(BM6-0.2*BO13)^2/(BM6+0.8*BO13)</f>
        <v>0.06975464343040594</v>
      </c>
      <c r="BQ13" s="67">
        <f>IF(BM6&gt;0,BP13*BM13,0)</f>
        <v>0</v>
      </c>
      <c r="BS13" s="63" t="s">
        <v>58</v>
      </c>
      <c r="BT13" s="64">
        <f>$D$26</f>
        <v>0</v>
      </c>
      <c r="BU13" s="65">
        <f>BT13/43560</f>
        <v>0</v>
      </c>
      <c r="BV13" s="64">
        <v>98</v>
      </c>
      <c r="BW13" s="66">
        <f>(1000/BV13)-10</f>
        <v>0.204081632653061</v>
      </c>
      <c r="BX13" s="66">
        <f>(BU6-0.2*BW13)^2/(BU6+0.8*BW13)</f>
        <v>0.04394145537002685</v>
      </c>
      <c r="BY13" s="67">
        <f>IF(BU6&gt;0,BX13*BU13,0)</f>
        <v>0</v>
      </c>
      <c r="CA13" s="63" t="s">
        <v>58</v>
      </c>
      <c r="CB13" s="64">
        <f>$D$26</f>
        <v>0</v>
      </c>
      <c r="CC13" s="65">
        <f>CB13/43560</f>
        <v>0</v>
      </c>
      <c r="CD13" s="64">
        <v>98</v>
      </c>
      <c r="CE13" s="66">
        <f>(1000/CD13)-10</f>
        <v>0.204081632653061</v>
      </c>
      <c r="CF13" s="66">
        <f>(CC6-0.2*CE13)^2/(CC6+0.8*CE13)</f>
        <v>0.363494496511051</v>
      </c>
      <c r="CG13" s="67">
        <f>IF(CC6&gt;0,CF13*CC13,0)</f>
        <v>0</v>
      </c>
      <c r="CI13" s="63" t="s">
        <v>58</v>
      </c>
      <c r="CJ13" s="64">
        <f>$D$26</f>
        <v>0</v>
      </c>
      <c r="CK13" s="65">
        <f>CJ13/43560</f>
        <v>0</v>
      </c>
      <c r="CL13" s="64">
        <v>98</v>
      </c>
      <c r="CM13" s="66">
        <f>(1000/CL13)-10</f>
        <v>0.204081632653061</v>
      </c>
      <c r="CN13" s="66">
        <f>(CK6-0.2*CM13)^2/(CK6+0.8*CM13)</f>
        <v>0.44695204911232805</v>
      </c>
      <c r="CO13" s="67">
        <f>IF(CK6&gt;0,CN13*CK13,0)</f>
        <v>0</v>
      </c>
      <c r="CQ13" s="63" t="s">
        <v>58</v>
      </c>
      <c r="CR13" s="64">
        <f>$D$26</f>
        <v>0</v>
      </c>
      <c r="CS13" s="65">
        <f>CR13/43560</f>
        <v>0</v>
      </c>
      <c r="CT13" s="64">
        <v>98</v>
      </c>
      <c r="CU13" s="66">
        <f>(1000/CT13)-10</f>
        <v>0.204081632653061</v>
      </c>
      <c r="CV13" s="66">
        <f>(CS6-0.2*CU13)^2/(CS6+0.8*CU13)</f>
        <v>0.8103006666619739</v>
      </c>
      <c r="CW13" s="67">
        <f>IF(CS6&gt;0,CV13*CS13,0)</f>
        <v>0</v>
      </c>
      <c r="CY13" s="63" t="s">
        <v>58</v>
      </c>
      <c r="CZ13" s="64">
        <f>$D$26</f>
        <v>0</v>
      </c>
      <c r="DA13" s="65">
        <f>CZ13/43560</f>
        <v>0</v>
      </c>
      <c r="DB13" s="64">
        <v>98</v>
      </c>
      <c r="DC13" s="66">
        <f>(1000/DB13)-10</f>
        <v>0.204081632653061</v>
      </c>
      <c r="DD13" s="66">
        <f>(DA6-0.2*DC13)^2/(DA6+0.8*DC13)</f>
        <v>0.4282759940870566</v>
      </c>
      <c r="DE13" s="67">
        <f>IF(DA6&gt;0,DD13*DA13,0)</f>
        <v>0</v>
      </c>
      <c r="DG13" s="63" t="s">
        <v>58</v>
      </c>
      <c r="DH13" s="64">
        <f>$D$26</f>
        <v>0</v>
      </c>
      <c r="DI13" s="65">
        <f>DH13/43560</f>
        <v>0</v>
      </c>
      <c r="DJ13" s="64">
        <v>98</v>
      </c>
      <c r="DK13" s="66">
        <f>(1000/DJ13)-10</f>
        <v>0.204081632653061</v>
      </c>
      <c r="DL13" s="66">
        <f>(DI6-0.2*DK13)^2/(DI6+0.8*DK13)</f>
        <v>0.027121270219987826</v>
      </c>
      <c r="DM13" s="67">
        <f>IF(DI6&gt;0,DL13*DI13,0)</f>
        <v>0</v>
      </c>
      <c r="DO13" s="63" t="s">
        <v>58</v>
      </c>
      <c r="DP13" s="64">
        <f>$D$26</f>
        <v>0</v>
      </c>
      <c r="DQ13" s="65">
        <f>DP13/43560</f>
        <v>0</v>
      </c>
      <c r="DR13" s="64">
        <v>98</v>
      </c>
      <c r="DS13" s="66">
        <f>(1000/DR13)-10</f>
        <v>0.204081632653061</v>
      </c>
      <c r="DT13" s="66">
        <f>(DQ6-0.2*DS13)^2/(DQ6+0.8*DS13)</f>
        <v>0.05007548395965863</v>
      </c>
      <c r="DU13" s="67">
        <f>IF(DQ6&gt;0,DT13*DQ13,0)</f>
        <v>0</v>
      </c>
      <c r="DW13" s="63" t="s">
        <v>58</v>
      </c>
      <c r="DX13" s="64">
        <f>$D$26</f>
        <v>0</v>
      </c>
      <c r="DY13" s="65">
        <f>DX13/43560</f>
        <v>0</v>
      </c>
      <c r="DZ13" s="64">
        <v>98</v>
      </c>
      <c r="EA13" s="66">
        <f>(1000/DZ13)-10</f>
        <v>0.204081632653061</v>
      </c>
      <c r="EB13" s="66">
        <f>(DY6-0.2*EA13)^2/(DY6+0.8*EA13)</f>
        <v>0.013304856826451538</v>
      </c>
      <c r="EC13" s="67">
        <f>IF(DY6&gt;0,EB13*DY13,0)</f>
        <v>0</v>
      </c>
      <c r="EE13" s="63" t="s">
        <v>58</v>
      </c>
      <c r="EF13" s="64">
        <f>$D$26</f>
        <v>0</v>
      </c>
      <c r="EG13" s="65">
        <f>EF13/43560</f>
        <v>0</v>
      </c>
      <c r="EH13" s="64">
        <v>98</v>
      </c>
      <c r="EI13" s="66">
        <f>(1000/EH13)-10</f>
        <v>0.204081632653061</v>
      </c>
      <c r="EJ13" s="66">
        <f>(EG6-0.2*EI13)^2/(EG6+0.8*EI13)</f>
        <v>0.013304856826451538</v>
      </c>
      <c r="EK13" s="67">
        <f>IF(EG6&gt;0,EJ13*EG13,0)</f>
        <v>0</v>
      </c>
      <c r="EM13" s="63" t="s">
        <v>58</v>
      </c>
      <c r="EN13" s="64">
        <f>$D$26</f>
        <v>0</v>
      </c>
      <c r="EO13" s="65">
        <f>EN13/43560</f>
        <v>0</v>
      </c>
      <c r="EP13" s="64">
        <v>98</v>
      </c>
      <c r="EQ13" s="66">
        <f>(1000/EP13)-10</f>
        <v>0.204081632653061</v>
      </c>
      <c r="ER13" s="66">
        <f>(EO6-0.2*EQ13)^2/(EO6+0.8*EQ13)</f>
        <v>0.022134917367523408</v>
      </c>
      <c r="ES13" s="67">
        <f>IF(EO6&gt;0,ER13*EO13,0)</f>
        <v>0</v>
      </c>
      <c r="EU13" s="63" t="s">
        <v>58</v>
      </c>
      <c r="EV13" s="64">
        <f>$D$26</f>
        <v>0</v>
      </c>
      <c r="EW13" s="65">
        <f>EV13/43560</f>
        <v>0</v>
      </c>
      <c r="EX13" s="64">
        <v>98</v>
      </c>
      <c r="EY13" s="66">
        <f>(1000/EX13)-10</f>
        <v>0.204081632653061</v>
      </c>
      <c r="EZ13" s="66">
        <f>(EW6-0.2*EY13)^2/(EW6+0.8*EY13)</f>
        <v>0.09838221928447499</v>
      </c>
      <c r="FA13" s="67">
        <f>IF(EW6&gt;0,EZ13*EW13,0)</f>
        <v>0</v>
      </c>
      <c r="FC13" s="63" t="s">
        <v>58</v>
      </c>
      <c r="FD13" s="64">
        <f>$D$26</f>
        <v>0</v>
      </c>
      <c r="FE13" s="65">
        <f>FD13/43560</f>
        <v>0</v>
      </c>
      <c r="FF13" s="64">
        <v>98</v>
      </c>
      <c r="FG13" s="66">
        <f>(1000/FF13)-10</f>
        <v>0.204081632653061</v>
      </c>
      <c r="FH13" s="66">
        <f>(FE6-0.2*FG13)^2/(FE6+0.8*FG13)</f>
        <v>0.013304856826451538</v>
      </c>
      <c r="FI13" s="67">
        <f>IF(FE6&gt;0,FH13*FE13,0)</f>
        <v>0</v>
      </c>
      <c r="FK13" s="63" t="s">
        <v>58</v>
      </c>
      <c r="FL13" s="64">
        <f>$D$26</f>
        <v>0</v>
      </c>
      <c r="FM13" s="65">
        <f>FL13/43560</f>
        <v>0</v>
      </c>
      <c r="FN13" s="64">
        <v>98</v>
      </c>
      <c r="FO13" s="66">
        <f>(1000/FN13)-10</f>
        <v>0.204081632653061</v>
      </c>
      <c r="FP13" s="66">
        <f>(FM6-0.2*FO13)^2/(FM6+0.8*FO13)</f>
        <v>0.01751550807029312</v>
      </c>
      <c r="FQ13" s="67">
        <f>IF(FM6&gt;0,FP13*FM13,0)</f>
        <v>0</v>
      </c>
      <c r="FS13" s="63" t="s">
        <v>58</v>
      </c>
      <c r="FT13" s="64">
        <f>$D$26</f>
        <v>0</v>
      </c>
      <c r="FU13" s="65">
        <f>FT13/43560</f>
        <v>0</v>
      </c>
      <c r="FV13" s="64">
        <v>98</v>
      </c>
      <c r="FW13" s="66">
        <f>(1000/FV13)-10</f>
        <v>0.204081632653061</v>
      </c>
      <c r="FX13" s="66">
        <f>(FU6-0.2*FW13)^2/(FU6+0.8*FW13)</f>
        <v>0.8006006723440813</v>
      </c>
      <c r="FY13" s="67">
        <f>IF(FU6&gt;0,FX13*FU13,0)</f>
        <v>0</v>
      </c>
      <c r="GA13" s="63" t="s">
        <v>58</v>
      </c>
      <c r="GB13" s="64">
        <f>$D$26</f>
        <v>0</v>
      </c>
      <c r="GC13" s="65">
        <f>GB13/43560</f>
        <v>0</v>
      </c>
      <c r="GD13" s="64">
        <v>98</v>
      </c>
      <c r="GE13" s="66">
        <f>(1000/GD13)-10</f>
        <v>0.204081632653061</v>
      </c>
      <c r="GF13" s="66">
        <f>(GC6-0.2*GE13)^2/(GC6+0.8*GE13)</f>
        <v>0.44695204911232805</v>
      </c>
      <c r="GG13" s="67">
        <f>IF(GC6&gt;0,GF13*GC13,0)</f>
        <v>0</v>
      </c>
      <c r="GI13" s="63" t="s">
        <v>58</v>
      </c>
      <c r="GJ13" s="64">
        <f>$D$26</f>
        <v>0</v>
      </c>
      <c r="GK13" s="65">
        <f>GJ13/43560</f>
        <v>0</v>
      </c>
      <c r="GL13" s="64">
        <v>98</v>
      </c>
      <c r="GM13" s="66">
        <f>(1000/GL13)-10</f>
        <v>0.204081632653061</v>
      </c>
      <c r="GN13" s="66">
        <f>(GK6-0.2*GM13)^2/(GK6+0.8*GM13)</f>
        <v>0.19469706135184195</v>
      </c>
      <c r="GO13" s="67">
        <f>IF(GK6&gt;0,GN13*GK13,0)</f>
        <v>0</v>
      </c>
    </row>
    <row r="14" spans="1:197" ht="14.25">
      <c r="A14" s="121"/>
      <c r="B14" s="121"/>
      <c r="C14" s="121"/>
      <c r="D14" s="121"/>
      <c r="E14" s="121"/>
      <c r="F14" s="121"/>
      <c r="G14" s="121"/>
      <c r="H14" s="128"/>
      <c r="I14" s="121"/>
      <c r="K14" s="23"/>
      <c r="L14" s="23"/>
      <c r="M14" s="23"/>
      <c r="N14" s="23"/>
      <c r="O14" s="23"/>
      <c r="P14" s="23" t="s">
        <v>59</v>
      </c>
      <c r="Q14" s="68" t="e">
        <f>SUM(Q8:Q13)</f>
        <v>#N/A</v>
      </c>
      <c r="R14" s="218" t="s">
        <v>324</v>
      </c>
      <c r="S14" s="34"/>
      <c r="T14" s="34"/>
      <c r="U14" s="35"/>
      <c r="AB14" s="17" t="s">
        <v>59</v>
      </c>
      <c r="AC14" s="69" t="e">
        <f>SUM(AC8:AC13)</f>
        <v>#N/A</v>
      </c>
      <c r="AD14" s="24"/>
      <c r="AJ14" s="17" t="s">
        <v>59</v>
      </c>
      <c r="AK14" s="69" t="e">
        <f>SUM(AK8:AK13)</f>
        <v>#N/A</v>
      </c>
      <c r="AR14" s="17" t="s">
        <v>59</v>
      </c>
      <c r="AS14" s="69" t="e">
        <f>SUM(AS8:AS13)</f>
        <v>#N/A</v>
      </c>
      <c r="AZ14" s="17" t="s">
        <v>59</v>
      </c>
      <c r="BA14" s="69" t="e">
        <f>SUM(BA8:BA13)</f>
        <v>#N/A</v>
      </c>
      <c r="BH14" s="17" t="s">
        <v>59</v>
      </c>
      <c r="BI14" s="69" t="e">
        <f>SUM(BI8:BI13)</f>
        <v>#N/A</v>
      </c>
      <c r="BP14" s="17" t="s">
        <v>59</v>
      </c>
      <c r="BQ14" s="69" t="e">
        <f>SUM(BQ8:BQ13)</f>
        <v>#N/A</v>
      </c>
      <c r="BX14" s="17" t="s">
        <v>59</v>
      </c>
      <c r="BY14" s="69" t="e">
        <f>SUM(BY8:BY13)</f>
        <v>#N/A</v>
      </c>
      <c r="CF14" s="17" t="s">
        <v>59</v>
      </c>
      <c r="CG14" s="69" t="e">
        <f>SUM(CG8:CG13)</f>
        <v>#N/A</v>
      </c>
      <c r="CN14" s="17" t="s">
        <v>59</v>
      </c>
      <c r="CO14" s="69" t="e">
        <f>SUM(CO8:CO13)</f>
        <v>#N/A</v>
      </c>
      <c r="CV14" s="17" t="s">
        <v>59</v>
      </c>
      <c r="CW14" s="69" t="e">
        <f>SUM(CW8:CW13)</f>
        <v>#N/A</v>
      </c>
      <c r="DD14" s="17" t="s">
        <v>59</v>
      </c>
      <c r="DE14" s="69" t="e">
        <f>SUM(DE8:DE13)</f>
        <v>#N/A</v>
      </c>
      <c r="DL14" s="17" t="s">
        <v>59</v>
      </c>
      <c r="DM14" s="69" t="e">
        <f>SUM(DM8:DM13)</f>
        <v>#N/A</v>
      </c>
      <c r="DT14" s="17" t="s">
        <v>59</v>
      </c>
      <c r="DU14" s="69" t="e">
        <f>SUM(DU8:DU13)</f>
        <v>#N/A</v>
      </c>
      <c r="EB14" s="17" t="s">
        <v>59</v>
      </c>
      <c r="EC14" s="69" t="e">
        <f>SUM(EC8:EC13)</f>
        <v>#N/A</v>
      </c>
      <c r="EJ14" s="17" t="s">
        <v>59</v>
      </c>
      <c r="EK14" s="69" t="e">
        <f>SUM(EK8:EK13)</f>
        <v>#N/A</v>
      </c>
      <c r="ER14" s="17" t="s">
        <v>59</v>
      </c>
      <c r="ES14" s="69" t="e">
        <f>SUM(ES8:ES13)</f>
        <v>#N/A</v>
      </c>
      <c r="EZ14" s="17" t="s">
        <v>59</v>
      </c>
      <c r="FA14" s="69" t="e">
        <f>SUM(FA8:FA13)</f>
        <v>#N/A</v>
      </c>
      <c r="FH14" s="17" t="s">
        <v>59</v>
      </c>
      <c r="FI14" s="69" t="e">
        <f>SUM(FI8:FI13)</f>
        <v>#N/A</v>
      </c>
      <c r="FP14" s="17" t="s">
        <v>59</v>
      </c>
      <c r="FQ14" s="69" t="e">
        <f>SUM(FQ8:FQ13)</f>
        <v>#N/A</v>
      </c>
      <c r="FX14" s="17" t="s">
        <v>59</v>
      </c>
      <c r="FY14" s="69" t="e">
        <f>SUM(FY8:FY13)</f>
        <v>#N/A</v>
      </c>
      <c r="GF14" s="17" t="s">
        <v>59</v>
      </c>
      <c r="GG14" s="69" t="e">
        <f>SUM(GG8:GG13)</f>
        <v>#N/A</v>
      </c>
      <c r="GN14" s="17" t="s">
        <v>59</v>
      </c>
      <c r="GO14" s="69" t="e">
        <f>SUM(GO8:GO13)</f>
        <v>#N/A</v>
      </c>
    </row>
    <row r="15" spans="1:195" ht="14.25">
      <c r="A15" s="121"/>
      <c r="B15" s="128" t="s">
        <v>69</v>
      </c>
      <c r="C15" s="115"/>
      <c r="D15" s="121" t="s">
        <v>70</v>
      </c>
      <c r="E15" s="115"/>
      <c r="F15" s="121" t="s">
        <v>70</v>
      </c>
      <c r="G15" s="121"/>
      <c r="H15" s="121"/>
      <c r="I15" s="121"/>
      <c r="K15" s="23" t="s">
        <v>62</v>
      </c>
      <c r="L15" s="23" t="s">
        <v>63</v>
      </c>
      <c r="M15" s="23"/>
      <c r="N15" s="23"/>
      <c r="O15" s="23"/>
      <c r="P15" s="23"/>
      <c r="Q15" s="23"/>
      <c r="R15" s="218" t="s">
        <v>325</v>
      </c>
      <c r="S15" s="34"/>
      <c r="T15" s="34"/>
      <c r="U15" s="35"/>
      <c r="AB15" s="24"/>
      <c r="AC15" s="24"/>
      <c r="AD15" s="24"/>
      <c r="AE15" s="24"/>
      <c r="AF15" s="24"/>
      <c r="AG15" s="24"/>
      <c r="AH15" s="24"/>
      <c r="AI15" s="24"/>
      <c r="AM15" s="24"/>
      <c r="AN15" s="24"/>
      <c r="AO15" s="24"/>
      <c r="AP15" s="24"/>
      <c r="AQ15" s="24"/>
      <c r="AU15" s="24"/>
      <c r="AV15" s="24"/>
      <c r="AW15" s="24"/>
      <c r="AX15" s="24"/>
      <c r="AY15" s="24"/>
      <c r="BC15" s="24"/>
      <c r="BD15" s="24"/>
      <c r="BE15" s="24"/>
      <c r="BF15" s="24"/>
      <c r="BG15" s="24"/>
      <c r="BK15" s="24"/>
      <c r="BL15" s="24"/>
      <c r="BM15" s="24"/>
      <c r="BN15" s="24"/>
      <c r="BO15" s="24"/>
      <c r="BS15" s="24"/>
      <c r="BT15" s="24"/>
      <c r="BU15" s="24"/>
      <c r="BV15" s="24"/>
      <c r="BW15" s="24"/>
      <c r="CA15" s="24"/>
      <c r="CB15" s="24"/>
      <c r="CC15" s="24"/>
      <c r="CD15" s="24"/>
      <c r="CE15" s="24"/>
      <c r="CI15" s="24"/>
      <c r="CJ15" s="24"/>
      <c r="CK15" s="24"/>
      <c r="CL15" s="24"/>
      <c r="CM15" s="24"/>
      <c r="CQ15" s="24"/>
      <c r="CR15" s="24"/>
      <c r="CS15" s="24"/>
      <c r="CT15" s="24"/>
      <c r="CU15" s="24"/>
      <c r="CY15" s="24"/>
      <c r="CZ15" s="24"/>
      <c r="DA15" s="24"/>
      <c r="DB15" s="24"/>
      <c r="DC15" s="24"/>
      <c r="DG15" s="24"/>
      <c r="DH15" s="24"/>
      <c r="DI15" s="24"/>
      <c r="DJ15" s="24"/>
      <c r="DK15" s="24"/>
      <c r="DO15" s="24"/>
      <c r="DP15" s="24"/>
      <c r="DQ15" s="24"/>
      <c r="DR15" s="24"/>
      <c r="DS15" s="24"/>
      <c r="DW15" s="24"/>
      <c r="DX15" s="24"/>
      <c r="DY15" s="24"/>
      <c r="DZ15" s="24"/>
      <c r="EA15" s="24"/>
      <c r="EE15" s="24"/>
      <c r="EF15" s="24"/>
      <c r="EG15" s="24"/>
      <c r="EH15" s="24"/>
      <c r="EI15" s="24"/>
      <c r="EM15" s="24"/>
      <c r="EN15" s="24"/>
      <c r="EO15" s="24"/>
      <c r="EP15" s="24"/>
      <c r="EQ15" s="24"/>
      <c r="EU15" s="24"/>
      <c r="EV15" s="24"/>
      <c r="EW15" s="24"/>
      <c r="EX15" s="24"/>
      <c r="EY15" s="24"/>
      <c r="FC15" s="24"/>
      <c r="FD15" s="24"/>
      <c r="FE15" s="24"/>
      <c r="FF15" s="24"/>
      <c r="FG15" s="24"/>
      <c r="FK15" s="24"/>
      <c r="FL15" s="24"/>
      <c r="FM15" s="24"/>
      <c r="FN15" s="24"/>
      <c r="FO15" s="24"/>
      <c r="FS15" s="24"/>
      <c r="FT15" s="24"/>
      <c r="FU15" s="24"/>
      <c r="FV15" s="24"/>
      <c r="FW15" s="24"/>
      <c r="GA15" s="24"/>
      <c r="GB15" s="24"/>
      <c r="GC15" s="24"/>
      <c r="GD15" s="24"/>
      <c r="GE15" s="24"/>
      <c r="GI15" s="24"/>
      <c r="GJ15" s="24"/>
      <c r="GK15" s="24"/>
      <c r="GL15" s="24"/>
      <c r="GM15" s="24"/>
    </row>
    <row r="16" spans="1:196" ht="14.25">
      <c r="A16" s="121"/>
      <c r="B16" s="128" t="s">
        <v>74</v>
      </c>
      <c r="C16" s="115"/>
      <c r="D16" s="121"/>
      <c r="E16" s="115"/>
      <c r="F16" s="121"/>
      <c r="G16" s="138" t="s">
        <v>275</v>
      </c>
      <c r="H16" s="121"/>
      <c r="I16" s="121"/>
      <c r="K16" s="19" t="s">
        <v>64</v>
      </c>
      <c r="L16" s="20"/>
      <c r="M16" s="20"/>
      <c r="N16" s="30" t="s">
        <v>65</v>
      </c>
      <c r="O16" s="30" t="s">
        <v>66</v>
      </c>
      <c r="P16" s="70" t="s">
        <v>67</v>
      </c>
      <c r="Q16" s="23"/>
      <c r="R16" s="219" t="s">
        <v>326</v>
      </c>
      <c r="S16" s="38"/>
      <c r="T16" s="38"/>
      <c r="U16" s="39"/>
      <c r="AB16" s="24"/>
      <c r="AC16" s="24"/>
      <c r="AD16" s="25"/>
      <c r="AE16" s="24"/>
      <c r="AF16" s="24"/>
      <c r="AG16" s="24"/>
      <c r="AH16" s="64"/>
      <c r="AI16" s="64"/>
      <c r="AJ16" s="64"/>
      <c r="AM16" s="24"/>
      <c r="AN16" s="24"/>
      <c r="AO16" s="24"/>
      <c r="AP16" s="64"/>
      <c r="AQ16" s="64"/>
      <c r="AR16" s="64"/>
      <c r="AU16" s="24"/>
      <c r="AV16" s="24"/>
      <c r="AW16" s="24"/>
      <c r="AX16" s="64"/>
      <c r="AY16" s="64"/>
      <c r="AZ16" s="64"/>
      <c r="BC16" s="24"/>
      <c r="BD16" s="24"/>
      <c r="BE16" s="24"/>
      <c r="BF16" s="64"/>
      <c r="BG16" s="64"/>
      <c r="BH16" s="64"/>
      <c r="BK16" s="24"/>
      <c r="BL16" s="24"/>
      <c r="BM16" s="24"/>
      <c r="BN16" s="64"/>
      <c r="BO16" s="64"/>
      <c r="BP16" s="64"/>
      <c r="BS16" s="24"/>
      <c r="BT16" s="24"/>
      <c r="BU16" s="24"/>
      <c r="BV16" s="64"/>
      <c r="BW16" s="64"/>
      <c r="BX16" s="64"/>
      <c r="CA16" s="24"/>
      <c r="CB16" s="24"/>
      <c r="CC16" s="24"/>
      <c r="CD16" s="64"/>
      <c r="CE16" s="64"/>
      <c r="CF16" s="64"/>
      <c r="CI16" s="24"/>
      <c r="CJ16" s="24"/>
      <c r="CK16" s="24"/>
      <c r="CL16" s="64"/>
      <c r="CM16" s="64"/>
      <c r="CN16" s="64"/>
      <c r="CQ16" s="24"/>
      <c r="CR16" s="24"/>
      <c r="CS16" s="24"/>
      <c r="CT16" s="64"/>
      <c r="CU16" s="64"/>
      <c r="CV16" s="64"/>
      <c r="CY16" s="24"/>
      <c r="CZ16" s="24"/>
      <c r="DA16" s="24"/>
      <c r="DB16" s="64"/>
      <c r="DC16" s="64"/>
      <c r="DD16" s="64"/>
      <c r="DG16" s="24"/>
      <c r="DH16" s="24"/>
      <c r="DI16" s="24"/>
      <c r="DJ16" s="64"/>
      <c r="DK16" s="64"/>
      <c r="DL16" s="64"/>
      <c r="DO16" s="24"/>
      <c r="DP16" s="24"/>
      <c r="DQ16" s="24"/>
      <c r="DR16" s="64"/>
      <c r="DS16" s="64"/>
      <c r="DT16" s="64"/>
      <c r="DW16" s="24"/>
      <c r="DX16" s="24"/>
      <c r="DY16" s="24"/>
      <c r="DZ16" s="64"/>
      <c r="EA16" s="64"/>
      <c r="EB16" s="64"/>
      <c r="EE16" s="24"/>
      <c r="EF16" s="24"/>
      <c r="EG16" s="24"/>
      <c r="EH16" s="64"/>
      <c r="EI16" s="64"/>
      <c r="EJ16" s="64"/>
      <c r="EM16" s="24"/>
      <c r="EN16" s="24"/>
      <c r="EO16" s="24"/>
      <c r="EP16" s="64"/>
      <c r="EQ16" s="64"/>
      <c r="ER16" s="64"/>
      <c r="EU16" s="24"/>
      <c r="EV16" s="24"/>
      <c r="EW16" s="24"/>
      <c r="EX16" s="64"/>
      <c r="EY16" s="64"/>
      <c r="EZ16" s="64"/>
      <c r="FC16" s="24"/>
      <c r="FD16" s="24"/>
      <c r="FE16" s="24"/>
      <c r="FF16" s="64"/>
      <c r="FG16" s="64"/>
      <c r="FH16" s="64"/>
      <c r="FK16" s="24"/>
      <c r="FL16" s="24"/>
      <c r="FM16" s="24"/>
      <c r="FN16" s="64"/>
      <c r="FO16" s="64"/>
      <c r="FP16" s="64"/>
      <c r="FS16" s="24"/>
      <c r="FT16" s="24"/>
      <c r="FU16" s="24"/>
      <c r="FV16" s="64"/>
      <c r="FW16" s="64"/>
      <c r="FX16" s="64"/>
      <c r="GA16" s="24"/>
      <c r="GB16" s="24"/>
      <c r="GC16" s="24"/>
      <c r="GD16" s="64"/>
      <c r="GE16" s="64"/>
      <c r="GF16" s="64"/>
      <c r="GI16" s="24"/>
      <c r="GJ16" s="24"/>
      <c r="GK16" s="24"/>
      <c r="GL16" s="64"/>
      <c r="GM16" s="64"/>
      <c r="GN16" s="64"/>
    </row>
    <row r="17" spans="1:196" ht="14.25">
      <c r="A17" s="121"/>
      <c r="B17" s="128" t="s">
        <v>77</v>
      </c>
      <c r="C17" s="116"/>
      <c r="D17" s="129" t="s">
        <v>22</v>
      </c>
      <c r="E17" s="116"/>
      <c r="F17" s="121" t="s">
        <v>22</v>
      </c>
      <c r="G17" s="121"/>
      <c r="H17" s="121"/>
      <c r="I17" s="121"/>
      <c r="K17" s="46" t="s">
        <v>68</v>
      </c>
      <c r="L17" s="34" t="s">
        <v>71</v>
      </c>
      <c r="M17" s="34" t="s">
        <v>72</v>
      </c>
      <c r="N17" s="71" t="s">
        <v>67</v>
      </c>
      <c r="O17" s="71" t="s">
        <v>67</v>
      </c>
      <c r="P17" s="72" t="s">
        <v>73</v>
      </c>
      <c r="Q17" s="23"/>
      <c r="R17" s="23"/>
      <c r="S17" s="23"/>
      <c r="T17" s="23"/>
      <c r="U17" s="23"/>
      <c r="Z17" s="40"/>
      <c r="AA17" s="41"/>
      <c r="AB17" s="43"/>
      <c r="AC17" s="24"/>
      <c r="AD17" s="31"/>
      <c r="AE17" s="24"/>
      <c r="AF17" s="24"/>
      <c r="AG17" s="24"/>
      <c r="AH17" s="40"/>
      <c r="AI17" s="41"/>
      <c r="AJ17" s="43"/>
      <c r="AM17" s="24"/>
      <c r="AN17" s="24"/>
      <c r="AO17" s="24"/>
      <c r="AP17" s="40"/>
      <c r="AQ17" s="41"/>
      <c r="AR17" s="43"/>
      <c r="AU17" s="24"/>
      <c r="AV17" s="24"/>
      <c r="AW17" s="24"/>
      <c r="AX17" s="40"/>
      <c r="AY17" s="41"/>
      <c r="AZ17" s="43"/>
      <c r="BC17" s="24"/>
      <c r="BD17" s="24"/>
      <c r="BE17" s="24"/>
      <c r="BF17" s="40"/>
      <c r="BG17" s="41"/>
      <c r="BH17" s="43"/>
      <c r="BK17" s="24"/>
      <c r="BL17" s="24"/>
      <c r="BM17" s="24"/>
      <c r="BN17" s="40"/>
      <c r="BO17" s="41"/>
      <c r="BP17" s="43"/>
      <c r="BS17" s="24"/>
      <c r="BT17" s="24"/>
      <c r="BU17" s="24"/>
      <c r="BV17" s="40"/>
      <c r="BW17" s="41"/>
      <c r="BX17" s="43"/>
      <c r="CA17" s="24"/>
      <c r="CB17" s="24"/>
      <c r="CC17" s="24"/>
      <c r="CD17" s="40"/>
      <c r="CE17" s="41"/>
      <c r="CF17" s="43"/>
      <c r="CI17" s="24"/>
      <c r="CJ17" s="24"/>
      <c r="CK17" s="24"/>
      <c r="CL17" s="40"/>
      <c r="CM17" s="41"/>
      <c r="CN17" s="43"/>
      <c r="CQ17" s="24"/>
      <c r="CR17" s="24"/>
      <c r="CS17" s="24"/>
      <c r="CT17" s="40"/>
      <c r="CU17" s="41"/>
      <c r="CV17" s="43"/>
      <c r="CY17" s="24"/>
      <c r="CZ17" s="24"/>
      <c r="DA17" s="24"/>
      <c r="DB17" s="40"/>
      <c r="DC17" s="41"/>
      <c r="DD17" s="43"/>
      <c r="DG17" s="24"/>
      <c r="DH17" s="24"/>
      <c r="DI17" s="24"/>
      <c r="DJ17" s="40"/>
      <c r="DK17" s="41"/>
      <c r="DL17" s="43"/>
      <c r="DO17" s="24"/>
      <c r="DP17" s="24"/>
      <c r="DQ17" s="24"/>
      <c r="DR17" s="40"/>
      <c r="DS17" s="41"/>
      <c r="DT17" s="43"/>
      <c r="DW17" s="24"/>
      <c r="DX17" s="24"/>
      <c r="DY17" s="24"/>
      <c r="DZ17" s="40"/>
      <c r="EA17" s="41"/>
      <c r="EB17" s="43"/>
      <c r="EE17" s="24"/>
      <c r="EF17" s="24"/>
      <c r="EG17" s="24"/>
      <c r="EH17" s="40"/>
      <c r="EI17" s="41"/>
      <c r="EJ17" s="43"/>
      <c r="EM17" s="24"/>
      <c r="EN17" s="24"/>
      <c r="EO17" s="24"/>
      <c r="EP17" s="40"/>
      <c r="EQ17" s="41"/>
      <c r="ER17" s="43"/>
      <c r="EU17" s="24"/>
      <c r="EV17" s="24"/>
      <c r="EW17" s="24"/>
      <c r="EX17" s="40"/>
      <c r="EY17" s="41"/>
      <c r="EZ17" s="43"/>
      <c r="FC17" s="24"/>
      <c r="FD17" s="24"/>
      <c r="FE17" s="24"/>
      <c r="FF17" s="40"/>
      <c r="FG17" s="41"/>
      <c r="FH17" s="43"/>
      <c r="FK17" s="24"/>
      <c r="FL17" s="24"/>
      <c r="FM17" s="24"/>
      <c r="FN17" s="40"/>
      <c r="FO17" s="41"/>
      <c r="FP17" s="43"/>
      <c r="FS17" s="24"/>
      <c r="FT17" s="24"/>
      <c r="FU17" s="24"/>
      <c r="FV17" s="40"/>
      <c r="FW17" s="41"/>
      <c r="FX17" s="43"/>
      <c r="GA17" s="24"/>
      <c r="GB17" s="24"/>
      <c r="GC17" s="24"/>
      <c r="GD17" s="40"/>
      <c r="GE17" s="41"/>
      <c r="GF17" s="43"/>
      <c r="GI17" s="24"/>
      <c r="GJ17" s="24"/>
      <c r="GK17" s="24"/>
      <c r="GL17" s="40"/>
      <c r="GM17" s="41"/>
      <c r="GN17" s="43"/>
    </row>
    <row r="18" spans="1:196" ht="14.25">
      <c r="A18" s="121"/>
      <c r="B18" s="128" t="s">
        <v>80</v>
      </c>
      <c r="C18" s="115"/>
      <c r="D18" s="121"/>
      <c r="E18" s="191"/>
      <c r="F18" s="121"/>
      <c r="G18" s="190" t="s">
        <v>274</v>
      </c>
      <c r="H18" s="121"/>
      <c r="I18" s="121"/>
      <c r="K18" s="46" t="s">
        <v>75</v>
      </c>
      <c r="L18" s="34">
        <v>1400</v>
      </c>
      <c r="M18" s="34" t="str">
        <f>IF($C$16=1,C15," ")</f>
        <v> </v>
      </c>
      <c r="N18" s="34">
        <v>0.92</v>
      </c>
      <c r="O18" s="49" t="str">
        <f>IF($C$16=1,N18*($C$17/L18)," ")</f>
        <v> </v>
      </c>
      <c r="P18" s="50">
        <f>IF($C$16=1,O18*M18,0)</f>
        <v>0</v>
      </c>
      <c r="Q18" s="23"/>
      <c r="R18" s="23"/>
      <c r="S18" s="23"/>
      <c r="T18" s="23"/>
      <c r="U18" s="23"/>
      <c r="Z18" s="74" t="s">
        <v>76</v>
      </c>
      <c r="AA18" s="24"/>
      <c r="AB18" s="75" t="s">
        <v>76</v>
      </c>
      <c r="AC18" s="24"/>
      <c r="AD18" s="31"/>
      <c r="AE18" s="24"/>
      <c r="AF18" s="24"/>
      <c r="AG18" s="24"/>
      <c r="AH18" s="74" t="s">
        <v>76</v>
      </c>
      <c r="AI18" s="24"/>
      <c r="AJ18" s="75" t="s">
        <v>76</v>
      </c>
      <c r="AM18" s="24"/>
      <c r="AN18" s="24"/>
      <c r="AO18" s="24"/>
      <c r="AP18" s="74" t="s">
        <v>76</v>
      </c>
      <c r="AQ18" s="24"/>
      <c r="AR18" s="75" t="s">
        <v>76</v>
      </c>
      <c r="AU18" s="24"/>
      <c r="AV18" s="24"/>
      <c r="AW18" s="24"/>
      <c r="AX18" s="74" t="s">
        <v>76</v>
      </c>
      <c r="AY18" s="24"/>
      <c r="AZ18" s="75" t="s">
        <v>76</v>
      </c>
      <c r="BC18" s="24"/>
      <c r="BD18" s="24"/>
      <c r="BE18" s="24"/>
      <c r="BF18" s="74" t="s">
        <v>76</v>
      </c>
      <c r="BG18" s="24"/>
      <c r="BH18" s="75" t="s">
        <v>76</v>
      </c>
      <c r="BK18" s="24"/>
      <c r="BL18" s="24"/>
      <c r="BM18" s="24"/>
      <c r="BN18" s="74" t="s">
        <v>76</v>
      </c>
      <c r="BO18" s="24"/>
      <c r="BP18" s="75" t="s">
        <v>76</v>
      </c>
      <c r="BS18" s="24"/>
      <c r="BT18" s="24"/>
      <c r="BU18" s="24"/>
      <c r="BV18" s="74" t="s">
        <v>76</v>
      </c>
      <c r="BW18" s="24"/>
      <c r="BX18" s="75" t="s">
        <v>76</v>
      </c>
      <c r="CA18" s="24"/>
      <c r="CB18" s="24"/>
      <c r="CC18" s="24"/>
      <c r="CD18" s="74" t="s">
        <v>76</v>
      </c>
      <c r="CE18" s="24"/>
      <c r="CF18" s="75" t="s">
        <v>76</v>
      </c>
      <c r="CI18" s="24"/>
      <c r="CJ18" s="24"/>
      <c r="CK18" s="24"/>
      <c r="CL18" s="74" t="s">
        <v>76</v>
      </c>
      <c r="CM18" s="24"/>
      <c r="CN18" s="75" t="s">
        <v>76</v>
      </c>
      <c r="CQ18" s="24"/>
      <c r="CR18" s="24"/>
      <c r="CS18" s="24"/>
      <c r="CT18" s="74" t="s">
        <v>76</v>
      </c>
      <c r="CU18" s="24"/>
      <c r="CV18" s="75" t="s">
        <v>76</v>
      </c>
      <c r="CY18" s="24"/>
      <c r="CZ18" s="24"/>
      <c r="DA18" s="24"/>
      <c r="DB18" s="74" t="s">
        <v>76</v>
      </c>
      <c r="DC18" s="24"/>
      <c r="DD18" s="75" t="s">
        <v>76</v>
      </c>
      <c r="DG18" s="24"/>
      <c r="DH18" s="24"/>
      <c r="DI18" s="24"/>
      <c r="DJ18" s="74" t="s">
        <v>76</v>
      </c>
      <c r="DK18" s="24"/>
      <c r="DL18" s="75" t="s">
        <v>76</v>
      </c>
      <c r="DO18" s="24"/>
      <c r="DP18" s="24"/>
      <c r="DQ18" s="24"/>
      <c r="DR18" s="74" t="s">
        <v>76</v>
      </c>
      <c r="DS18" s="24"/>
      <c r="DT18" s="75" t="s">
        <v>76</v>
      </c>
      <c r="DW18" s="24"/>
      <c r="DX18" s="24"/>
      <c r="DY18" s="24"/>
      <c r="DZ18" s="74" t="s">
        <v>76</v>
      </c>
      <c r="EA18" s="24"/>
      <c r="EB18" s="75" t="s">
        <v>76</v>
      </c>
      <c r="EE18" s="24"/>
      <c r="EF18" s="24"/>
      <c r="EG18" s="24"/>
      <c r="EH18" s="74" t="s">
        <v>76</v>
      </c>
      <c r="EI18" s="24"/>
      <c r="EJ18" s="75" t="s">
        <v>76</v>
      </c>
      <c r="EM18" s="24"/>
      <c r="EN18" s="24"/>
      <c r="EO18" s="24"/>
      <c r="EP18" s="74" t="s">
        <v>76</v>
      </c>
      <c r="EQ18" s="24"/>
      <c r="ER18" s="75" t="s">
        <v>76</v>
      </c>
      <c r="EU18" s="24"/>
      <c r="EV18" s="24"/>
      <c r="EW18" s="24"/>
      <c r="EX18" s="74" t="s">
        <v>76</v>
      </c>
      <c r="EY18" s="24"/>
      <c r="EZ18" s="75" t="s">
        <v>76</v>
      </c>
      <c r="FC18" s="24"/>
      <c r="FD18" s="24"/>
      <c r="FE18" s="24"/>
      <c r="FF18" s="74" t="s">
        <v>76</v>
      </c>
      <c r="FG18" s="24"/>
      <c r="FH18" s="75" t="s">
        <v>76</v>
      </c>
      <c r="FK18" s="24"/>
      <c r="FL18" s="24"/>
      <c r="FM18" s="24"/>
      <c r="FN18" s="74" t="s">
        <v>76</v>
      </c>
      <c r="FO18" s="24"/>
      <c r="FP18" s="75" t="s">
        <v>76</v>
      </c>
      <c r="FS18" s="24"/>
      <c r="FT18" s="24"/>
      <c r="FU18" s="24"/>
      <c r="FV18" s="74" t="s">
        <v>76</v>
      </c>
      <c r="FW18" s="24"/>
      <c r="FX18" s="75" t="s">
        <v>76</v>
      </c>
      <c r="GA18" s="24"/>
      <c r="GB18" s="24"/>
      <c r="GC18" s="24"/>
      <c r="GD18" s="74" t="s">
        <v>76</v>
      </c>
      <c r="GE18" s="24"/>
      <c r="GF18" s="75" t="s">
        <v>76</v>
      </c>
      <c r="GI18" s="24"/>
      <c r="GJ18" s="24"/>
      <c r="GK18" s="24"/>
      <c r="GL18" s="74" t="s">
        <v>76</v>
      </c>
      <c r="GM18" s="24"/>
      <c r="GN18" s="75" t="s">
        <v>76</v>
      </c>
    </row>
    <row r="19" spans="1:196" ht="14.25">
      <c r="A19" s="121"/>
      <c r="B19" s="121"/>
      <c r="C19" s="121"/>
      <c r="D19" s="121"/>
      <c r="E19" s="121"/>
      <c r="F19" s="121"/>
      <c r="G19" s="121"/>
      <c r="H19" s="121"/>
      <c r="I19" s="121"/>
      <c r="K19" s="46" t="s">
        <v>20</v>
      </c>
      <c r="L19" s="34">
        <v>1000</v>
      </c>
      <c r="M19" s="34" t="str">
        <f>IF($C$16=2,C15," ")</f>
        <v> </v>
      </c>
      <c r="N19" s="34">
        <v>1</v>
      </c>
      <c r="O19" s="49" t="str">
        <f>IF($C$16=2,N19*($C$17/L19)," ")</f>
        <v> </v>
      </c>
      <c r="P19" s="50">
        <f>IF($C$16=2,O19*M19,0)</f>
        <v>0</v>
      </c>
      <c r="Q19" s="23"/>
      <c r="R19" s="23"/>
      <c r="S19" s="23"/>
      <c r="T19" s="23"/>
      <c r="U19" s="23"/>
      <c r="Z19" s="74" t="s">
        <v>78</v>
      </c>
      <c r="AA19" s="24"/>
      <c r="AB19" s="75" t="s">
        <v>79</v>
      </c>
      <c r="AC19" s="24"/>
      <c r="AD19" s="31"/>
      <c r="AE19" s="24"/>
      <c r="AF19" s="24"/>
      <c r="AG19" s="24"/>
      <c r="AH19" s="74" t="s">
        <v>78</v>
      </c>
      <c r="AI19" s="24"/>
      <c r="AJ19" s="75" t="s">
        <v>79</v>
      </c>
      <c r="AM19" s="24"/>
      <c r="AN19" s="24"/>
      <c r="AO19" s="24"/>
      <c r="AP19" s="74" t="s">
        <v>78</v>
      </c>
      <c r="AQ19" s="24"/>
      <c r="AR19" s="75" t="s">
        <v>79</v>
      </c>
      <c r="AU19" s="24"/>
      <c r="AV19" s="24"/>
      <c r="AW19" s="24"/>
      <c r="AX19" s="74" t="s">
        <v>78</v>
      </c>
      <c r="AY19" s="24"/>
      <c r="AZ19" s="75" t="s">
        <v>79</v>
      </c>
      <c r="BC19" s="24"/>
      <c r="BD19" s="24"/>
      <c r="BE19" s="24"/>
      <c r="BF19" s="74" t="s">
        <v>78</v>
      </c>
      <c r="BG19" s="24"/>
      <c r="BH19" s="75" t="s">
        <v>79</v>
      </c>
      <c r="BK19" s="24"/>
      <c r="BL19" s="24"/>
      <c r="BM19" s="24"/>
      <c r="BN19" s="74" t="s">
        <v>78</v>
      </c>
      <c r="BO19" s="24"/>
      <c r="BP19" s="75" t="s">
        <v>79</v>
      </c>
      <c r="BS19" s="24"/>
      <c r="BT19" s="24"/>
      <c r="BU19" s="24"/>
      <c r="BV19" s="74" t="s">
        <v>78</v>
      </c>
      <c r="BW19" s="24"/>
      <c r="BX19" s="75" t="s">
        <v>79</v>
      </c>
      <c r="CA19" s="24"/>
      <c r="CB19" s="24"/>
      <c r="CC19" s="24"/>
      <c r="CD19" s="74" t="s">
        <v>78</v>
      </c>
      <c r="CE19" s="24"/>
      <c r="CF19" s="75" t="s">
        <v>79</v>
      </c>
      <c r="CI19" s="24"/>
      <c r="CJ19" s="24"/>
      <c r="CK19" s="24"/>
      <c r="CL19" s="74" t="s">
        <v>78</v>
      </c>
      <c r="CM19" s="24"/>
      <c r="CN19" s="75" t="s">
        <v>79</v>
      </c>
      <c r="CQ19" s="24"/>
      <c r="CR19" s="24"/>
      <c r="CS19" s="24"/>
      <c r="CT19" s="74" t="s">
        <v>78</v>
      </c>
      <c r="CU19" s="24"/>
      <c r="CV19" s="75" t="s">
        <v>79</v>
      </c>
      <c r="CY19" s="24"/>
      <c r="CZ19" s="24"/>
      <c r="DA19" s="24"/>
      <c r="DB19" s="74" t="s">
        <v>78</v>
      </c>
      <c r="DC19" s="24"/>
      <c r="DD19" s="75" t="s">
        <v>79</v>
      </c>
      <c r="DG19" s="24"/>
      <c r="DH19" s="24"/>
      <c r="DI19" s="24"/>
      <c r="DJ19" s="74" t="s">
        <v>78</v>
      </c>
      <c r="DK19" s="24"/>
      <c r="DL19" s="75" t="s">
        <v>79</v>
      </c>
      <c r="DO19" s="24"/>
      <c r="DP19" s="24"/>
      <c r="DQ19" s="24"/>
      <c r="DR19" s="74" t="s">
        <v>78</v>
      </c>
      <c r="DS19" s="24"/>
      <c r="DT19" s="75" t="s">
        <v>79</v>
      </c>
      <c r="DW19" s="24"/>
      <c r="DX19" s="24"/>
      <c r="DY19" s="24"/>
      <c r="DZ19" s="74" t="s">
        <v>78</v>
      </c>
      <c r="EA19" s="24"/>
      <c r="EB19" s="75" t="s">
        <v>79</v>
      </c>
      <c r="EE19" s="24"/>
      <c r="EF19" s="24"/>
      <c r="EG19" s="24"/>
      <c r="EH19" s="74" t="s">
        <v>78</v>
      </c>
      <c r="EI19" s="24"/>
      <c r="EJ19" s="75" t="s">
        <v>79</v>
      </c>
      <c r="EM19" s="24"/>
      <c r="EN19" s="24"/>
      <c r="EO19" s="24"/>
      <c r="EP19" s="74" t="s">
        <v>78</v>
      </c>
      <c r="EQ19" s="24"/>
      <c r="ER19" s="75" t="s">
        <v>79</v>
      </c>
      <c r="EU19" s="24"/>
      <c r="EV19" s="24"/>
      <c r="EW19" s="24"/>
      <c r="EX19" s="74" t="s">
        <v>78</v>
      </c>
      <c r="EY19" s="24"/>
      <c r="EZ19" s="75" t="s">
        <v>79</v>
      </c>
      <c r="FC19" s="24"/>
      <c r="FD19" s="24"/>
      <c r="FE19" s="24"/>
      <c r="FF19" s="74" t="s">
        <v>78</v>
      </c>
      <c r="FG19" s="24"/>
      <c r="FH19" s="75" t="s">
        <v>79</v>
      </c>
      <c r="FK19" s="24"/>
      <c r="FL19" s="24"/>
      <c r="FM19" s="24"/>
      <c r="FN19" s="74" t="s">
        <v>78</v>
      </c>
      <c r="FO19" s="24"/>
      <c r="FP19" s="75" t="s">
        <v>79</v>
      </c>
      <c r="FS19" s="24"/>
      <c r="FT19" s="24"/>
      <c r="FU19" s="24"/>
      <c r="FV19" s="74" t="s">
        <v>78</v>
      </c>
      <c r="FW19" s="24"/>
      <c r="FX19" s="75" t="s">
        <v>79</v>
      </c>
      <c r="GA19" s="24"/>
      <c r="GB19" s="24"/>
      <c r="GC19" s="24"/>
      <c r="GD19" s="74" t="s">
        <v>78</v>
      </c>
      <c r="GE19" s="24"/>
      <c r="GF19" s="75" t="s">
        <v>79</v>
      </c>
      <c r="GI19" s="24"/>
      <c r="GJ19" s="24"/>
      <c r="GK19" s="24"/>
      <c r="GL19" s="74" t="s">
        <v>78</v>
      </c>
      <c r="GM19" s="24"/>
      <c r="GN19" s="75" t="s">
        <v>79</v>
      </c>
    </row>
    <row r="20" spans="11:196" ht="14.25">
      <c r="K20" s="32"/>
      <c r="L20" s="34"/>
      <c r="M20" s="34"/>
      <c r="N20" s="34"/>
      <c r="O20" s="49"/>
      <c r="P20" s="50"/>
      <c r="Q20" s="23"/>
      <c r="R20" s="23"/>
      <c r="S20" s="23"/>
      <c r="T20" s="23"/>
      <c r="U20" s="23"/>
      <c r="Z20" s="74" t="s">
        <v>81</v>
      </c>
      <c r="AA20" s="25" t="s">
        <v>82</v>
      </c>
      <c r="AB20" s="75" t="s">
        <v>83</v>
      </c>
      <c r="AC20" s="24"/>
      <c r="AD20" s="24"/>
      <c r="AE20" s="24"/>
      <c r="AF20" s="24"/>
      <c r="AG20" s="24"/>
      <c r="AH20" s="74" t="s">
        <v>81</v>
      </c>
      <c r="AI20" s="25" t="s">
        <v>82</v>
      </c>
      <c r="AJ20" s="75" t="s">
        <v>83</v>
      </c>
      <c r="AM20" s="24"/>
      <c r="AN20" s="24"/>
      <c r="AO20" s="24"/>
      <c r="AP20" s="74" t="s">
        <v>81</v>
      </c>
      <c r="AQ20" s="25" t="s">
        <v>82</v>
      </c>
      <c r="AR20" s="75" t="s">
        <v>83</v>
      </c>
      <c r="AU20" s="24"/>
      <c r="AV20" s="24"/>
      <c r="AW20" s="24"/>
      <c r="AX20" s="74" t="s">
        <v>81</v>
      </c>
      <c r="AY20" s="25" t="s">
        <v>82</v>
      </c>
      <c r="AZ20" s="75" t="s">
        <v>83</v>
      </c>
      <c r="BC20" s="24"/>
      <c r="BD20" s="24"/>
      <c r="BE20" s="24"/>
      <c r="BF20" s="74" t="s">
        <v>81</v>
      </c>
      <c r="BG20" s="25" t="s">
        <v>82</v>
      </c>
      <c r="BH20" s="75" t="s">
        <v>83</v>
      </c>
      <c r="BK20" s="24"/>
      <c r="BL20" s="24"/>
      <c r="BM20" s="24"/>
      <c r="BN20" s="74" t="s">
        <v>81</v>
      </c>
      <c r="BO20" s="25" t="s">
        <v>82</v>
      </c>
      <c r="BP20" s="75" t="s">
        <v>83</v>
      </c>
      <c r="BS20" s="24"/>
      <c r="BT20" s="24"/>
      <c r="BU20" s="24"/>
      <c r="BV20" s="74" t="s">
        <v>81</v>
      </c>
      <c r="BW20" s="25" t="s">
        <v>82</v>
      </c>
      <c r="BX20" s="75" t="s">
        <v>83</v>
      </c>
      <c r="CA20" s="24"/>
      <c r="CB20" s="24"/>
      <c r="CC20" s="24"/>
      <c r="CD20" s="74" t="s">
        <v>81</v>
      </c>
      <c r="CE20" s="25" t="s">
        <v>82</v>
      </c>
      <c r="CF20" s="75" t="s">
        <v>83</v>
      </c>
      <c r="CI20" s="24"/>
      <c r="CJ20" s="24"/>
      <c r="CK20" s="24"/>
      <c r="CL20" s="74" t="s">
        <v>81</v>
      </c>
      <c r="CM20" s="25" t="s">
        <v>82</v>
      </c>
      <c r="CN20" s="75" t="s">
        <v>83</v>
      </c>
      <c r="CQ20" s="24"/>
      <c r="CR20" s="24"/>
      <c r="CS20" s="24"/>
      <c r="CT20" s="74" t="s">
        <v>81</v>
      </c>
      <c r="CU20" s="25" t="s">
        <v>82</v>
      </c>
      <c r="CV20" s="75" t="s">
        <v>83</v>
      </c>
      <c r="CY20" s="24"/>
      <c r="CZ20" s="24"/>
      <c r="DA20" s="24"/>
      <c r="DB20" s="74" t="s">
        <v>81</v>
      </c>
      <c r="DC20" s="25" t="s">
        <v>82</v>
      </c>
      <c r="DD20" s="75" t="s">
        <v>83</v>
      </c>
      <c r="DG20" s="24"/>
      <c r="DH20" s="24"/>
      <c r="DI20" s="24"/>
      <c r="DJ20" s="74" t="s">
        <v>81</v>
      </c>
      <c r="DK20" s="25" t="s">
        <v>82</v>
      </c>
      <c r="DL20" s="75" t="s">
        <v>83</v>
      </c>
      <c r="DO20" s="24"/>
      <c r="DP20" s="24"/>
      <c r="DQ20" s="24"/>
      <c r="DR20" s="74" t="s">
        <v>81</v>
      </c>
      <c r="DS20" s="25" t="s">
        <v>82</v>
      </c>
      <c r="DT20" s="75" t="s">
        <v>83</v>
      </c>
      <c r="DW20" s="24"/>
      <c r="DX20" s="24"/>
      <c r="DY20" s="24"/>
      <c r="DZ20" s="74" t="s">
        <v>81</v>
      </c>
      <c r="EA20" s="25" t="s">
        <v>82</v>
      </c>
      <c r="EB20" s="75" t="s">
        <v>83</v>
      </c>
      <c r="EE20" s="24"/>
      <c r="EF20" s="24"/>
      <c r="EG20" s="24"/>
      <c r="EH20" s="74" t="s">
        <v>81</v>
      </c>
      <c r="EI20" s="25" t="s">
        <v>82</v>
      </c>
      <c r="EJ20" s="75" t="s">
        <v>83</v>
      </c>
      <c r="EM20" s="24"/>
      <c r="EN20" s="24"/>
      <c r="EO20" s="24"/>
      <c r="EP20" s="74" t="s">
        <v>81</v>
      </c>
      <c r="EQ20" s="25" t="s">
        <v>82</v>
      </c>
      <c r="ER20" s="75" t="s">
        <v>83</v>
      </c>
      <c r="EU20" s="24"/>
      <c r="EV20" s="24"/>
      <c r="EW20" s="24"/>
      <c r="EX20" s="74" t="s">
        <v>81</v>
      </c>
      <c r="EY20" s="25" t="s">
        <v>82</v>
      </c>
      <c r="EZ20" s="75" t="s">
        <v>83</v>
      </c>
      <c r="FC20" s="24"/>
      <c r="FD20" s="24"/>
      <c r="FE20" s="24"/>
      <c r="FF20" s="74" t="s">
        <v>81</v>
      </c>
      <c r="FG20" s="25" t="s">
        <v>82</v>
      </c>
      <c r="FH20" s="75" t="s">
        <v>83</v>
      </c>
      <c r="FK20" s="24"/>
      <c r="FL20" s="24"/>
      <c r="FM20" s="24"/>
      <c r="FN20" s="74" t="s">
        <v>81</v>
      </c>
      <c r="FO20" s="25" t="s">
        <v>82</v>
      </c>
      <c r="FP20" s="75" t="s">
        <v>83</v>
      </c>
      <c r="FS20" s="24"/>
      <c r="FT20" s="24"/>
      <c r="FU20" s="24"/>
      <c r="FV20" s="74" t="s">
        <v>81</v>
      </c>
      <c r="FW20" s="25" t="s">
        <v>82</v>
      </c>
      <c r="FX20" s="75" t="s">
        <v>83</v>
      </c>
      <c r="GA20" s="24"/>
      <c r="GB20" s="24"/>
      <c r="GC20" s="24"/>
      <c r="GD20" s="74" t="s">
        <v>81</v>
      </c>
      <c r="GE20" s="25" t="s">
        <v>82</v>
      </c>
      <c r="GF20" s="75" t="s">
        <v>83</v>
      </c>
      <c r="GI20" s="24"/>
      <c r="GJ20" s="24"/>
      <c r="GK20" s="24"/>
      <c r="GL20" s="74" t="s">
        <v>81</v>
      </c>
      <c r="GM20" s="25" t="s">
        <v>82</v>
      </c>
      <c r="GN20" s="75" t="s">
        <v>83</v>
      </c>
    </row>
    <row r="21" spans="1:196" ht="14.25">
      <c r="A21" s="139"/>
      <c r="B21" s="139"/>
      <c r="C21" s="139"/>
      <c r="D21" s="139"/>
      <c r="E21" s="139"/>
      <c r="F21" s="139"/>
      <c r="G21" s="139"/>
      <c r="H21" s="139"/>
      <c r="I21" s="139"/>
      <c r="K21" s="32"/>
      <c r="L21" s="34"/>
      <c r="M21" s="34"/>
      <c r="N21" s="34"/>
      <c r="O21" s="34"/>
      <c r="P21" s="35"/>
      <c r="Q21" s="77"/>
      <c r="R21" s="77"/>
      <c r="S21" s="77"/>
      <c r="T21" s="77"/>
      <c r="U21" s="77"/>
      <c r="Z21" s="74" t="s">
        <v>84</v>
      </c>
      <c r="AA21" s="25" t="s">
        <v>85</v>
      </c>
      <c r="AB21" s="75" t="s">
        <v>61</v>
      </c>
      <c r="AC21" s="24"/>
      <c r="AD21" s="24"/>
      <c r="AE21" s="24"/>
      <c r="AF21" s="31"/>
      <c r="AG21" s="31"/>
      <c r="AH21" s="74" t="s">
        <v>84</v>
      </c>
      <c r="AI21" s="25" t="s">
        <v>85</v>
      </c>
      <c r="AJ21" s="75" t="s">
        <v>61</v>
      </c>
      <c r="AM21" s="24"/>
      <c r="AN21" s="31"/>
      <c r="AO21" s="31"/>
      <c r="AP21" s="74" t="s">
        <v>84</v>
      </c>
      <c r="AQ21" s="25" t="s">
        <v>85</v>
      </c>
      <c r="AR21" s="75" t="s">
        <v>61</v>
      </c>
      <c r="AU21" s="24"/>
      <c r="AV21" s="31"/>
      <c r="AW21" s="31"/>
      <c r="AX21" s="74" t="s">
        <v>84</v>
      </c>
      <c r="AY21" s="25" t="s">
        <v>85</v>
      </c>
      <c r="AZ21" s="75" t="s">
        <v>61</v>
      </c>
      <c r="BC21" s="24"/>
      <c r="BD21" s="31"/>
      <c r="BE21" s="31"/>
      <c r="BF21" s="74" t="s">
        <v>84</v>
      </c>
      <c r="BG21" s="25" t="s">
        <v>85</v>
      </c>
      <c r="BH21" s="75" t="s">
        <v>61</v>
      </c>
      <c r="BK21" s="24"/>
      <c r="BL21" s="31"/>
      <c r="BM21" s="31"/>
      <c r="BN21" s="74" t="s">
        <v>84</v>
      </c>
      <c r="BO21" s="25" t="s">
        <v>85</v>
      </c>
      <c r="BP21" s="75" t="s">
        <v>61</v>
      </c>
      <c r="BS21" s="24"/>
      <c r="BT21" s="31"/>
      <c r="BU21" s="31"/>
      <c r="BV21" s="74" t="s">
        <v>84</v>
      </c>
      <c r="BW21" s="25" t="s">
        <v>85</v>
      </c>
      <c r="BX21" s="75" t="s">
        <v>61</v>
      </c>
      <c r="CA21" s="24"/>
      <c r="CB21" s="31"/>
      <c r="CC21" s="31"/>
      <c r="CD21" s="74" t="s">
        <v>84</v>
      </c>
      <c r="CE21" s="25" t="s">
        <v>85</v>
      </c>
      <c r="CF21" s="75" t="s">
        <v>61</v>
      </c>
      <c r="CI21" s="24"/>
      <c r="CJ21" s="31"/>
      <c r="CK21" s="31"/>
      <c r="CL21" s="74" t="s">
        <v>84</v>
      </c>
      <c r="CM21" s="25" t="s">
        <v>85</v>
      </c>
      <c r="CN21" s="75" t="s">
        <v>61</v>
      </c>
      <c r="CQ21" s="24"/>
      <c r="CR21" s="31"/>
      <c r="CS21" s="31"/>
      <c r="CT21" s="74" t="s">
        <v>84</v>
      </c>
      <c r="CU21" s="25" t="s">
        <v>85</v>
      </c>
      <c r="CV21" s="75" t="s">
        <v>61</v>
      </c>
      <c r="CY21" s="24"/>
      <c r="CZ21" s="31"/>
      <c r="DA21" s="31"/>
      <c r="DB21" s="74" t="s">
        <v>84</v>
      </c>
      <c r="DC21" s="25" t="s">
        <v>85</v>
      </c>
      <c r="DD21" s="75" t="s">
        <v>61</v>
      </c>
      <c r="DG21" s="24"/>
      <c r="DH21" s="31"/>
      <c r="DI21" s="31"/>
      <c r="DJ21" s="74" t="s">
        <v>84</v>
      </c>
      <c r="DK21" s="25" t="s">
        <v>85</v>
      </c>
      <c r="DL21" s="75" t="s">
        <v>61</v>
      </c>
      <c r="DO21" s="24"/>
      <c r="DP21" s="31"/>
      <c r="DQ21" s="31"/>
      <c r="DR21" s="74" t="s">
        <v>84</v>
      </c>
      <c r="DS21" s="25" t="s">
        <v>85</v>
      </c>
      <c r="DT21" s="75" t="s">
        <v>61</v>
      </c>
      <c r="DW21" s="24"/>
      <c r="DX21" s="31"/>
      <c r="DY21" s="31"/>
      <c r="DZ21" s="74" t="s">
        <v>84</v>
      </c>
      <c r="EA21" s="25" t="s">
        <v>85</v>
      </c>
      <c r="EB21" s="75" t="s">
        <v>61</v>
      </c>
      <c r="EE21" s="24"/>
      <c r="EF21" s="31"/>
      <c r="EG21" s="31"/>
      <c r="EH21" s="74" t="s">
        <v>84</v>
      </c>
      <c r="EI21" s="25" t="s">
        <v>85</v>
      </c>
      <c r="EJ21" s="75" t="s">
        <v>61</v>
      </c>
      <c r="EM21" s="24"/>
      <c r="EN21" s="31"/>
      <c r="EO21" s="31"/>
      <c r="EP21" s="74" t="s">
        <v>84</v>
      </c>
      <c r="EQ21" s="25" t="s">
        <v>85</v>
      </c>
      <c r="ER21" s="75" t="s">
        <v>61</v>
      </c>
      <c r="EU21" s="24"/>
      <c r="EV21" s="31"/>
      <c r="EW21" s="31"/>
      <c r="EX21" s="74" t="s">
        <v>84</v>
      </c>
      <c r="EY21" s="25" t="s">
        <v>85</v>
      </c>
      <c r="EZ21" s="75" t="s">
        <v>61</v>
      </c>
      <c r="FC21" s="24"/>
      <c r="FD21" s="31"/>
      <c r="FE21" s="31"/>
      <c r="FF21" s="74" t="s">
        <v>84</v>
      </c>
      <c r="FG21" s="25" t="s">
        <v>85</v>
      </c>
      <c r="FH21" s="75" t="s">
        <v>61</v>
      </c>
      <c r="FK21" s="24"/>
      <c r="FL21" s="31"/>
      <c r="FM21" s="31"/>
      <c r="FN21" s="74" t="s">
        <v>84</v>
      </c>
      <c r="FO21" s="25" t="s">
        <v>85</v>
      </c>
      <c r="FP21" s="75" t="s">
        <v>61</v>
      </c>
      <c r="FS21" s="24"/>
      <c r="FT21" s="31"/>
      <c r="FU21" s="31"/>
      <c r="FV21" s="74" t="s">
        <v>84</v>
      </c>
      <c r="FW21" s="25" t="s">
        <v>85</v>
      </c>
      <c r="FX21" s="75" t="s">
        <v>61</v>
      </c>
      <c r="GA21" s="24"/>
      <c r="GB21" s="31"/>
      <c r="GC21" s="31"/>
      <c r="GD21" s="74" t="s">
        <v>84</v>
      </c>
      <c r="GE21" s="25" t="s">
        <v>85</v>
      </c>
      <c r="GF21" s="75" t="s">
        <v>61</v>
      </c>
      <c r="GI21" s="24"/>
      <c r="GJ21" s="31"/>
      <c r="GK21" s="31"/>
      <c r="GL21" s="74" t="s">
        <v>84</v>
      </c>
      <c r="GM21" s="25" t="s">
        <v>85</v>
      </c>
      <c r="GN21" s="75" t="s">
        <v>61</v>
      </c>
    </row>
    <row r="22" spans="1:196" ht="14.25">
      <c r="A22" s="139" t="s">
        <v>93</v>
      </c>
      <c r="B22" s="139"/>
      <c r="C22" s="139"/>
      <c r="D22" s="140"/>
      <c r="E22" s="139"/>
      <c r="F22" s="140"/>
      <c r="G22" s="139"/>
      <c r="H22" s="139"/>
      <c r="I22" s="141"/>
      <c r="K22" s="32" t="s">
        <v>86</v>
      </c>
      <c r="L22" s="34"/>
      <c r="M22" s="34"/>
      <c r="N22" s="71"/>
      <c r="O22" s="71" t="s">
        <v>66</v>
      </c>
      <c r="P22" s="35"/>
      <c r="Q22" s="77"/>
      <c r="R22" s="77"/>
      <c r="S22" s="78" t="s">
        <v>87</v>
      </c>
      <c r="T22" s="77">
        <v>3.8</v>
      </c>
      <c r="U22" s="77" t="s">
        <v>17</v>
      </c>
      <c r="Z22" s="79"/>
      <c r="AA22" s="24"/>
      <c r="AB22" s="80"/>
      <c r="AC22" s="24"/>
      <c r="AD22" s="24"/>
      <c r="AE22" s="24"/>
      <c r="AF22" s="24"/>
      <c r="AG22" s="24"/>
      <c r="AH22" s="79"/>
      <c r="AI22" s="24"/>
      <c r="AJ22" s="80"/>
      <c r="AM22" s="24"/>
      <c r="AN22" s="24"/>
      <c r="AO22" s="24"/>
      <c r="AP22" s="79"/>
      <c r="AQ22" s="24"/>
      <c r="AR22" s="80"/>
      <c r="AU22" s="24"/>
      <c r="AV22" s="24"/>
      <c r="AW22" s="24"/>
      <c r="AX22" s="79"/>
      <c r="AY22" s="24"/>
      <c r="AZ22" s="80"/>
      <c r="BC22" s="24"/>
      <c r="BD22" s="24"/>
      <c r="BE22" s="24"/>
      <c r="BF22" s="79"/>
      <c r="BG22" s="24"/>
      <c r="BH22" s="80"/>
      <c r="BK22" s="24"/>
      <c r="BL22" s="24"/>
      <c r="BM22" s="24"/>
      <c r="BN22" s="79"/>
      <c r="BO22" s="24"/>
      <c r="BP22" s="80"/>
      <c r="BS22" s="24"/>
      <c r="BT22" s="24"/>
      <c r="BU22" s="24"/>
      <c r="BV22" s="79"/>
      <c r="BW22" s="24"/>
      <c r="BX22" s="80"/>
      <c r="CA22" s="24"/>
      <c r="CB22" s="24"/>
      <c r="CC22" s="24"/>
      <c r="CD22" s="79"/>
      <c r="CE22" s="24"/>
      <c r="CF22" s="80"/>
      <c r="CI22" s="24"/>
      <c r="CJ22" s="24"/>
      <c r="CK22" s="24"/>
      <c r="CL22" s="79"/>
      <c r="CM22" s="24"/>
      <c r="CN22" s="80"/>
      <c r="CQ22" s="24"/>
      <c r="CR22" s="24"/>
      <c r="CS22" s="24"/>
      <c r="CT22" s="79"/>
      <c r="CU22" s="24"/>
      <c r="CV22" s="80"/>
      <c r="CY22" s="24"/>
      <c r="CZ22" s="24"/>
      <c r="DA22" s="24"/>
      <c r="DB22" s="79"/>
      <c r="DC22" s="24"/>
      <c r="DD22" s="80"/>
      <c r="DG22" s="24"/>
      <c r="DH22" s="24"/>
      <c r="DI22" s="24"/>
      <c r="DJ22" s="79"/>
      <c r="DK22" s="24"/>
      <c r="DL22" s="80"/>
      <c r="DO22" s="24"/>
      <c r="DP22" s="24"/>
      <c r="DQ22" s="24"/>
      <c r="DR22" s="79"/>
      <c r="DS22" s="24"/>
      <c r="DT22" s="80"/>
      <c r="DW22" s="24"/>
      <c r="DX22" s="24"/>
      <c r="DY22" s="24"/>
      <c r="DZ22" s="79"/>
      <c r="EA22" s="24"/>
      <c r="EB22" s="80"/>
      <c r="EE22" s="24"/>
      <c r="EF22" s="24"/>
      <c r="EG22" s="24"/>
      <c r="EH22" s="79"/>
      <c r="EI22" s="24"/>
      <c r="EJ22" s="80"/>
      <c r="EM22" s="24"/>
      <c r="EN22" s="24"/>
      <c r="EO22" s="24"/>
      <c r="EP22" s="79"/>
      <c r="EQ22" s="24"/>
      <c r="ER22" s="80"/>
      <c r="EU22" s="24"/>
      <c r="EV22" s="24"/>
      <c r="EW22" s="24"/>
      <c r="EX22" s="79"/>
      <c r="EY22" s="24"/>
      <c r="EZ22" s="80"/>
      <c r="FC22" s="24"/>
      <c r="FD22" s="24"/>
      <c r="FE22" s="24"/>
      <c r="FF22" s="79"/>
      <c r="FG22" s="24"/>
      <c r="FH22" s="80"/>
      <c r="FK22" s="24"/>
      <c r="FL22" s="24"/>
      <c r="FM22" s="24"/>
      <c r="FN22" s="79"/>
      <c r="FO22" s="24"/>
      <c r="FP22" s="80"/>
      <c r="FS22" s="24"/>
      <c r="FT22" s="24"/>
      <c r="FU22" s="24"/>
      <c r="FV22" s="79"/>
      <c r="FW22" s="24"/>
      <c r="FX22" s="80"/>
      <c r="GA22" s="24"/>
      <c r="GB22" s="24"/>
      <c r="GC22" s="24"/>
      <c r="GD22" s="79"/>
      <c r="GE22" s="24"/>
      <c r="GF22" s="80"/>
      <c r="GI22" s="24"/>
      <c r="GJ22" s="24"/>
      <c r="GK22" s="24"/>
      <c r="GL22" s="79"/>
      <c r="GM22" s="24"/>
      <c r="GN22" s="80"/>
    </row>
    <row r="23" spans="1:196" ht="14.25">
      <c r="A23" s="139"/>
      <c r="B23" s="139"/>
      <c r="C23" s="142" t="s">
        <v>96</v>
      </c>
      <c r="D23" s="143"/>
      <c r="E23" s="139" t="s">
        <v>4</v>
      </c>
      <c r="F23" s="143"/>
      <c r="G23" s="139" t="s">
        <v>4</v>
      </c>
      <c r="H23" s="139"/>
      <c r="I23" s="141"/>
      <c r="K23" s="46" t="s">
        <v>68</v>
      </c>
      <c r="L23" s="34" t="s">
        <v>71</v>
      </c>
      <c r="M23" s="34"/>
      <c r="N23" s="71" t="s">
        <v>67</v>
      </c>
      <c r="O23" s="71" t="s">
        <v>67</v>
      </c>
      <c r="P23" s="35"/>
      <c r="Q23" s="77"/>
      <c r="R23" s="77"/>
      <c r="S23" s="78" t="s">
        <v>88</v>
      </c>
      <c r="T23" s="69" t="e">
        <f>P8</f>
        <v>#N/A</v>
      </c>
      <c r="U23" s="77" t="s">
        <v>89</v>
      </c>
      <c r="W23" s="24"/>
      <c r="X23" s="24"/>
      <c r="Z23" s="81" t="e">
        <f>($O$30*0.85)*AC14*0.227</f>
        <v>#DIV/0!</v>
      </c>
      <c r="AA23" s="66" t="e">
        <f>$K$56*$L$56</f>
        <v>#DIV/0!</v>
      </c>
      <c r="AB23" s="82" t="e">
        <f>AC14*AA23*0.227</f>
        <v>#N/A</v>
      </c>
      <c r="AC23" s="24"/>
      <c r="AD23" s="24"/>
      <c r="AE23" s="24"/>
      <c r="AF23" s="24"/>
      <c r="AG23" s="24"/>
      <c r="AH23" s="81" t="e">
        <f>($O$30*0.85)*AK14*0.227</f>
        <v>#DIV/0!</v>
      </c>
      <c r="AI23" s="66" t="e">
        <f>$K$56*$L$56</f>
        <v>#DIV/0!</v>
      </c>
      <c r="AJ23" s="82" t="e">
        <f>AK14*AI23*0.227</f>
        <v>#N/A</v>
      </c>
      <c r="AM23" s="24"/>
      <c r="AN23" s="24"/>
      <c r="AO23" s="24"/>
      <c r="AP23" s="81" t="e">
        <f>($O$30*0.85)*AS14*0.227</f>
        <v>#DIV/0!</v>
      </c>
      <c r="AQ23" s="66" t="e">
        <f>$K$56*$L$56</f>
        <v>#DIV/0!</v>
      </c>
      <c r="AR23" s="82" t="e">
        <f>AS14*AQ23*0.227</f>
        <v>#N/A</v>
      </c>
      <c r="AU23" s="24"/>
      <c r="AV23" s="24"/>
      <c r="AW23" s="24"/>
      <c r="AX23" s="81" t="e">
        <f>($O$30*0.85)*BA14*0.227</f>
        <v>#DIV/0!</v>
      </c>
      <c r="AY23" s="66" t="e">
        <f>$K$56*$L$56</f>
        <v>#DIV/0!</v>
      </c>
      <c r="AZ23" s="82" t="e">
        <f>BA14*AY23*0.227</f>
        <v>#N/A</v>
      </c>
      <c r="BC23" s="24"/>
      <c r="BD23" s="24"/>
      <c r="BE23" s="24"/>
      <c r="BF23" s="81" t="e">
        <f>($O$30*0.85)*BI14*0.227</f>
        <v>#DIV/0!</v>
      </c>
      <c r="BG23" s="66" t="e">
        <f>$K$56*$L$56</f>
        <v>#DIV/0!</v>
      </c>
      <c r="BH23" s="82" t="e">
        <f>BI14*BG23*0.227</f>
        <v>#N/A</v>
      </c>
      <c r="BK23" s="24"/>
      <c r="BL23" s="24"/>
      <c r="BM23" s="24"/>
      <c r="BN23" s="81" t="e">
        <f>($O$30*0.85)*BQ14*0.227</f>
        <v>#DIV/0!</v>
      </c>
      <c r="BO23" s="66" t="e">
        <f>$K$56*$L$56</f>
        <v>#DIV/0!</v>
      </c>
      <c r="BP23" s="82" t="e">
        <f>BQ14*BO23*0.227</f>
        <v>#N/A</v>
      </c>
      <c r="BS23" s="24"/>
      <c r="BT23" s="24"/>
      <c r="BU23" s="24"/>
      <c r="BV23" s="81" t="e">
        <f>($O$30*0.85)*BY14*0.227</f>
        <v>#DIV/0!</v>
      </c>
      <c r="BW23" s="66" t="e">
        <f>$K$56*$L$56</f>
        <v>#DIV/0!</v>
      </c>
      <c r="BX23" s="82" t="e">
        <f>BY14*BW23*0.227</f>
        <v>#N/A</v>
      </c>
      <c r="CA23" s="24"/>
      <c r="CB23" s="24"/>
      <c r="CC23" s="24"/>
      <c r="CD23" s="81" t="e">
        <f>($O$30*0.85)*CG14*0.227</f>
        <v>#DIV/0!</v>
      </c>
      <c r="CE23" s="66" t="e">
        <f>$K$56*$L$56</f>
        <v>#DIV/0!</v>
      </c>
      <c r="CF23" s="82" t="e">
        <f>CG14*CE23*0.227</f>
        <v>#N/A</v>
      </c>
      <c r="CI23" s="24"/>
      <c r="CJ23" s="24"/>
      <c r="CK23" s="24"/>
      <c r="CL23" s="81" t="e">
        <f>($O$30*0.85)*CO14*0.227</f>
        <v>#DIV/0!</v>
      </c>
      <c r="CM23" s="66" t="e">
        <f>$K$56*$L$56</f>
        <v>#DIV/0!</v>
      </c>
      <c r="CN23" s="82" t="e">
        <f>CO14*CM23*0.227</f>
        <v>#N/A</v>
      </c>
      <c r="CQ23" s="24"/>
      <c r="CR23" s="24"/>
      <c r="CS23" s="24"/>
      <c r="CT23" s="81" t="e">
        <f>($O$30*0.85)*CW14*0.227</f>
        <v>#DIV/0!</v>
      </c>
      <c r="CU23" s="66" t="e">
        <f>$K$56*$L$56</f>
        <v>#DIV/0!</v>
      </c>
      <c r="CV23" s="82" t="e">
        <f>CW14*CU23*0.227</f>
        <v>#N/A</v>
      </c>
      <c r="CY23" s="24"/>
      <c r="CZ23" s="24"/>
      <c r="DA23" s="24"/>
      <c r="DB23" s="81" t="e">
        <f>($O$30*0.85)*DE14*0.227</f>
        <v>#DIV/0!</v>
      </c>
      <c r="DC23" s="66" t="e">
        <f>$K$56*$L$56</f>
        <v>#DIV/0!</v>
      </c>
      <c r="DD23" s="82" t="e">
        <f>DE14*DC23*0.227</f>
        <v>#N/A</v>
      </c>
      <c r="DG23" s="24"/>
      <c r="DH23" s="24"/>
      <c r="DI23" s="24"/>
      <c r="DJ23" s="81" t="e">
        <f>($O$30*0.85)*DM14*0.227</f>
        <v>#DIV/0!</v>
      </c>
      <c r="DK23" s="66" t="e">
        <f>$K$56*$L$56</f>
        <v>#DIV/0!</v>
      </c>
      <c r="DL23" s="82" t="e">
        <f>DM14*DK23*0.227</f>
        <v>#N/A</v>
      </c>
      <c r="DO23" s="24"/>
      <c r="DP23" s="24"/>
      <c r="DQ23" s="24"/>
      <c r="DR23" s="81" t="e">
        <f>($O$30*0.85)*DU14*0.227</f>
        <v>#DIV/0!</v>
      </c>
      <c r="DS23" s="66" t="e">
        <f>$K$56*$L$56</f>
        <v>#DIV/0!</v>
      </c>
      <c r="DT23" s="82" t="e">
        <f>DU14*DS23*0.227</f>
        <v>#N/A</v>
      </c>
      <c r="DW23" s="24"/>
      <c r="DX23" s="24"/>
      <c r="DY23" s="24"/>
      <c r="DZ23" s="81" t="e">
        <f>($O$30*0.85)*EC14*0.227</f>
        <v>#DIV/0!</v>
      </c>
      <c r="EA23" s="66" t="e">
        <f>$K$56*$L$56</f>
        <v>#DIV/0!</v>
      </c>
      <c r="EB23" s="82" t="e">
        <f>EC14*EA23*0.227</f>
        <v>#N/A</v>
      </c>
      <c r="EE23" s="24"/>
      <c r="EF23" s="24"/>
      <c r="EG23" s="24"/>
      <c r="EH23" s="81" t="e">
        <f>($O$30*0.85)*EK14*0.227</f>
        <v>#DIV/0!</v>
      </c>
      <c r="EI23" s="66" t="e">
        <f>$K$56*$L$56</f>
        <v>#DIV/0!</v>
      </c>
      <c r="EJ23" s="82" t="e">
        <f>EK14*EI23*0.227</f>
        <v>#N/A</v>
      </c>
      <c r="EM23" s="24"/>
      <c r="EN23" s="24"/>
      <c r="EO23" s="24"/>
      <c r="EP23" s="81" t="e">
        <f>($O$30*0.85)*ES14*0.227</f>
        <v>#DIV/0!</v>
      </c>
      <c r="EQ23" s="66" t="e">
        <f>$K$56*$L$56</f>
        <v>#DIV/0!</v>
      </c>
      <c r="ER23" s="82" t="e">
        <f>ES14*EQ23*0.227</f>
        <v>#N/A</v>
      </c>
      <c r="EU23" s="24"/>
      <c r="EV23" s="24"/>
      <c r="EW23" s="24"/>
      <c r="EX23" s="81" t="e">
        <f>($O$30*0.85)*FA14*0.227</f>
        <v>#DIV/0!</v>
      </c>
      <c r="EY23" s="66" t="e">
        <f>$K$56*$L$56</f>
        <v>#DIV/0!</v>
      </c>
      <c r="EZ23" s="82" t="e">
        <f>FA14*EY23*0.227</f>
        <v>#N/A</v>
      </c>
      <c r="FC23" s="24"/>
      <c r="FD23" s="24"/>
      <c r="FE23" s="24"/>
      <c r="FF23" s="81" t="e">
        <f>($O$30*0.85)*FI14*0.227</f>
        <v>#DIV/0!</v>
      </c>
      <c r="FG23" s="66" t="e">
        <f>$K$56*$L$56</f>
        <v>#DIV/0!</v>
      </c>
      <c r="FH23" s="82" t="e">
        <f>FI14*FG23*0.227</f>
        <v>#N/A</v>
      </c>
      <c r="FK23" s="24"/>
      <c r="FL23" s="24"/>
      <c r="FM23" s="24"/>
      <c r="FN23" s="81" t="e">
        <f>($O$30*0.85)*FQ14*0.227</f>
        <v>#DIV/0!</v>
      </c>
      <c r="FO23" s="66" t="e">
        <f>$K$56*$L$56</f>
        <v>#DIV/0!</v>
      </c>
      <c r="FP23" s="82" t="e">
        <f>FQ14*FO23*0.227</f>
        <v>#N/A</v>
      </c>
      <c r="FS23" s="24"/>
      <c r="FT23" s="24"/>
      <c r="FU23" s="24"/>
      <c r="FV23" s="81" t="e">
        <f>($O$30*0.85)*FY14*0.227</f>
        <v>#DIV/0!</v>
      </c>
      <c r="FW23" s="66" t="e">
        <f>$K$56*$L$56</f>
        <v>#DIV/0!</v>
      </c>
      <c r="FX23" s="82" t="e">
        <f>FY14*FW23*0.227</f>
        <v>#N/A</v>
      </c>
      <c r="GA23" s="24"/>
      <c r="GB23" s="24"/>
      <c r="GC23" s="24"/>
      <c r="GD23" s="81" t="e">
        <f>($O$30*0.85)*GG14*0.227</f>
        <v>#DIV/0!</v>
      </c>
      <c r="GE23" s="66" t="e">
        <f>$K$56*$L$56</f>
        <v>#DIV/0!</v>
      </c>
      <c r="GF23" s="82" t="e">
        <f>GG14*GE23*0.227</f>
        <v>#N/A</v>
      </c>
      <c r="GI23" s="24"/>
      <c r="GJ23" s="24"/>
      <c r="GK23" s="24"/>
      <c r="GL23" s="81" t="e">
        <f>($O$30*0.85)*GO14*0.227</f>
        <v>#DIV/0!</v>
      </c>
      <c r="GM23" s="66" t="e">
        <f>$K$56*$L$56</f>
        <v>#DIV/0!</v>
      </c>
      <c r="GN23" s="82" t="e">
        <f>GO14*GM23*0.227</f>
        <v>#N/A</v>
      </c>
    </row>
    <row r="24" spans="1:195" ht="14.25">
      <c r="A24" s="139"/>
      <c r="B24" s="139"/>
      <c r="C24" s="142" t="s">
        <v>97</v>
      </c>
      <c r="D24" s="117"/>
      <c r="E24" s="139"/>
      <c r="F24" s="117"/>
      <c r="G24" s="139"/>
      <c r="H24" s="243" t="s">
        <v>743</v>
      </c>
      <c r="I24" s="245"/>
      <c r="K24" s="46" t="s">
        <v>75</v>
      </c>
      <c r="L24" s="34">
        <v>1400</v>
      </c>
      <c r="M24" s="34" t="str">
        <f>IF($E$16=1,E15," ")</f>
        <v> </v>
      </c>
      <c r="N24" s="34">
        <v>0.92</v>
      </c>
      <c r="O24" s="49" t="str">
        <f>IF($E$16=1,N24*($E$17/L24)," ")</f>
        <v> </v>
      </c>
      <c r="P24" s="50">
        <f>IF($E$16=1,O24*M24,0)</f>
        <v>0</v>
      </c>
      <c r="Q24" s="77"/>
      <c r="R24" s="77"/>
      <c r="S24" s="77"/>
      <c r="T24" s="77"/>
      <c r="U24" s="77"/>
      <c r="Y24" s="24"/>
      <c r="Z24" s="83" t="e">
        <f>Z23</f>
        <v>#DIV/0!</v>
      </c>
      <c r="AB24" s="24"/>
      <c r="AC24" s="24"/>
      <c r="AD24" s="24"/>
      <c r="AE24" s="31"/>
      <c r="AF24" s="31"/>
      <c r="AG24" s="24"/>
      <c r="AH24" s="31" t="e">
        <f>Z24+AH23</f>
        <v>#DIV/0!</v>
      </c>
      <c r="AI24" s="24"/>
      <c r="AM24" s="31"/>
      <c r="AN24" s="31"/>
      <c r="AO24" s="24"/>
      <c r="AP24" s="31" t="e">
        <f>AH24+AP23</f>
        <v>#DIV/0!</v>
      </c>
      <c r="AQ24" s="24"/>
      <c r="AU24" s="31"/>
      <c r="AV24" s="31"/>
      <c r="AW24" s="24"/>
      <c r="AX24" s="31" t="e">
        <f>AP24+AX23</f>
        <v>#DIV/0!</v>
      </c>
      <c r="AY24" s="24"/>
      <c r="BC24" s="31"/>
      <c r="BD24" s="31"/>
      <c r="BE24" s="24"/>
      <c r="BF24" s="31" t="e">
        <f>AX24+BF23</f>
        <v>#DIV/0!</v>
      </c>
      <c r="BG24" s="24"/>
      <c r="BK24" s="31"/>
      <c r="BL24" s="31"/>
      <c r="BM24" s="24"/>
      <c r="BN24" s="31" t="e">
        <f>BF24+BN23</f>
        <v>#DIV/0!</v>
      </c>
      <c r="BO24" s="24"/>
      <c r="BS24" s="31"/>
      <c r="BT24" s="31"/>
      <c r="BU24" s="24"/>
      <c r="BV24" s="31" t="e">
        <f>BN24+BV23</f>
        <v>#DIV/0!</v>
      </c>
      <c r="BW24" s="24"/>
      <c r="CA24" s="31"/>
      <c r="CB24" s="31"/>
      <c r="CC24" s="24"/>
      <c r="CD24" s="31" t="e">
        <f>BV24+CD23</f>
        <v>#DIV/0!</v>
      </c>
      <c r="CE24" s="24"/>
      <c r="CI24" s="31"/>
      <c r="CJ24" s="31"/>
      <c r="CK24" s="24"/>
      <c r="CL24" s="31" t="e">
        <f>CD24+CL23</f>
        <v>#DIV/0!</v>
      </c>
      <c r="CM24" s="24"/>
      <c r="CQ24" s="31"/>
      <c r="CR24" s="31"/>
      <c r="CS24" s="24"/>
      <c r="CT24" s="31" t="e">
        <f>CL24+CT23</f>
        <v>#DIV/0!</v>
      </c>
      <c r="CU24" s="24"/>
      <c r="CY24" s="31"/>
      <c r="CZ24" s="31"/>
      <c r="DA24" s="24"/>
      <c r="DB24" s="31" t="e">
        <f>CT24+DB23</f>
        <v>#DIV/0!</v>
      </c>
      <c r="DC24" s="24"/>
      <c r="DG24" s="31"/>
      <c r="DH24" s="31"/>
      <c r="DI24" s="24"/>
      <c r="DJ24" s="31" t="e">
        <f>DB24+DJ23</f>
        <v>#DIV/0!</v>
      </c>
      <c r="DK24" s="24"/>
      <c r="DO24" s="31"/>
      <c r="DP24" s="31"/>
      <c r="DQ24" s="24"/>
      <c r="DR24" s="31" t="e">
        <f>DJ24+DR23</f>
        <v>#DIV/0!</v>
      </c>
      <c r="DS24" s="24"/>
      <c r="DW24" s="31"/>
      <c r="DX24" s="31"/>
      <c r="DY24" s="24"/>
      <c r="DZ24" s="31" t="e">
        <f>DR24+DZ23</f>
        <v>#DIV/0!</v>
      </c>
      <c r="EA24" s="24"/>
      <c r="EE24" s="31"/>
      <c r="EF24" s="31"/>
      <c r="EG24" s="24"/>
      <c r="EH24" s="31" t="e">
        <f>DZ24+EH23</f>
        <v>#DIV/0!</v>
      </c>
      <c r="EI24" s="24"/>
      <c r="EM24" s="31"/>
      <c r="EN24" s="31"/>
      <c r="EO24" s="24"/>
      <c r="EP24" s="31" t="e">
        <f>EH24+EP23</f>
        <v>#DIV/0!</v>
      </c>
      <c r="EQ24" s="24"/>
      <c r="EU24" s="31"/>
      <c r="EV24" s="31"/>
      <c r="EW24" s="24"/>
      <c r="EX24" s="31" t="e">
        <f>EP24+EX23</f>
        <v>#DIV/0!</v>
      </c>
      <c r="EY24" s="24"/>
      <c r="FC24" s="31"/>
      <c r="FD24" s="31"/>
      <c r="FE24" s="24"/>
      <c r="FF24" s="31" t="e">
        <f>EX24+FF23</f>
        <v>#DIV/0!</v>
      </c>
      <c r="FG24" s="24"/>
      <c r="FK24" s="31"/>
      <c r="FL24" s="31"/>
      <c r="FM24" s="24"/>
      <c r="FN24" s="31" t="e">
        <f>FF24+FN23</f>
        <v>#DIV/0!</v>
      </c>
      <c r="FO24" s="24"/>
      <c r="FS24" s="31"/>
      <c r="FT24" s="31"/>
      <c r="FU24" s="24"/>
      <c r="FV24" s="31" t="e">
        <f>FN24+FV23</f>
        <v>#DIV/0!</v>
      </c>
      <c r="FW24" s="24"/>
      <c r="GA24" s="31"/>
      <c r="GB24" s="31"/>
      <c r="GC24" s="24"/>
      <c r="GD24" s="31" t="e">
        <f>FV24+GD23</f>
        <v>#DIV/0!</v>
      </c>
      <c r="GE24" s="24"/>
      <c r="GI24" s="31"/>
      <c r="GJ24" s="31"/>
      <c r="GK24" s="24"/>
      <c r="GL24" s="31" t="e">
        <f>GD24+GL23</f>
        <v>#DIV/0!</v>
      </c>
      <c r="GM24" s="24"/>
    </row>
    <row r="25" spans="1:197" ht="14.25">
      <c r="A25" s="139"/>
      <c r="B25" s="139"/>
      <c r="C25" s="139"/>
      <c r="D25" s="139"/>
      <c r="E25" s="139"/>
      <c r="F25" s="139"/>
      <c r="G25" s="139"/>
      <c r="H25" s="258" t="s">
        <v>744</v>
      </c>
      <c r="I25" s="170"/>
      <c r="K25" s="46" t="s">
        <v>20</v>
      </c>
      <c r="L25" s="34">
        <v>1000</v>
      </c>
      <c r="M25" s="34" t="str">
        <f>IF($E$16=2,E15," ")</f>
        <v> </v>
      </c>
      <c r="N25" s="34">
        <v>1</v>
      </c>
      <c r="O25" s="49" t="str">
        <f>IF($E$16=2,N25*($E$17/L25)," ")</f>
        <v> </v>
      </c>
      <c r="P25" s="50">
        <f>IF($E$16=2,O25*M25,0)</f>
        <v>0</v>
      </c>
      <c r="Q25" s="77"/>
      <c r="R25" s="77"/>
      <c r="S25" s="78" t="s">
        <v>90</v>
      </c>
      <c r="T25" s="84" t="e">
        <f>M61</f>
        <v>#DIV/0!</v>
      </c>
      <c r="U25" s="77" t="s">
        <v>22</v>
      </c>
      <c r="Y25" s="24"/>
      <c r="AB25" s="24"/>
      <c r="AC25" s="24"/>
      <c r="AD25" s="24"/>
      <c r="AE25" s="24"/>
      <c r="AF25" s="24"/>
      <c r="AG25" s="24"/>
      <c r="AH25" s="24"/>
      <c r="AI25" s="73" t="s">
        <v>91</v>
      </c>
      <c r="AJ25" s="83" t="e">
        <f>AB23+AJ23</f>
        <v>#N/A</v>
      </c>
      <c r="AK25" s="17" t="s">
        <v>92</v>
      </c>
      <c r="AM25" s="24"/>
      <c r="AN25" s="24"/>
      <c r="AO25" s="24"/>
      <c r="AP25" s="24"/>
      <c r="AQ25" s="73" t="s">
        <v>91</v>
      </c>
      <c r="AR25" s="83" t="e">
        <f>AJ25+AR23</f>
        <v>#N/A</v>
      </c>
      <c r="AS25" s="17" t="s">
        <v>92</v>
      </c>
      <c r="AU25" s="24"/>
      <c r="AV25" s="24"/>
      <c r="AW25" s="24"/>
      <c r="AX25" s="24"/>
      <c r="AY25" s="73" t="s">
        <v>91</v>
      </c>
      <c r="AZ25" s="83" t="e">
        <f>AR25+AZ23</f>
        <v>#N/A</v>
      </c>
      <c r="BA25" s="17" t="s">
        <v>92</v>
      </c>
      <c r="BC25" s="24"/>
      <c r="BD25" s="24"/>
      <c r="BE25" s="24"/>
      <c r="BF25" s="24"/>
      <c r="BG25" s="73" t="s">
        <v>91</v>
      </c>
      <c r="BH25" s="83" t="e">
        <f>AZ25+BH23</f>
        <v>#N/A</v>
      </c>
      <c r="BI25" s="17" t="s">
        <v>92</v>
      </c>
      <c r="BK25" s="24"/>
      <c r="BL25" s="24"/>
      <c r="BM25" s="24"/>
      <c r="BN25" s="24"/>
      <c r="BO25" s="73" t="s">
        <v>91</v>
      </c>
      <c r="BP25" s="83" t="e">
        <f>BH25+BP23</f>
        <v>#N/A</v>
      </c>
      <c r="BQ25" s="17" t="s">
        <v>92</v>
      </c>
      <c r="BS25" s="24"/>
      <c r="BT25" s="24"/>
      <c r="BU25" s="24"/>
      <c r="BV25" s="24"/>
      <c r="BW25" s="73" t="s">
        <v>91</v>
      </c>
      <c r="BX25" s="83" t="e">
        <f>BP25+BX23</f>
        <v>#N/A</v>
      </c>
      <c r="BY25" s="17" t="s">
        <v>92</v>
      </c>
      <c r="CA25" s="24"/>
      <c r="CB25" s="24"/>
      <c r="CC25" s="24"/>
      <c r="CD25" s="24"/>
      <c r="CE25" s="73" t="s">
        <v>91</v>
      </c>
      <c r="CF25" s="83" t="e">
        <f>BX25+CF23</f>
        <v>#N/A</v>
      </c>
      <c r="CG25" s="17" t="s">
        <v>92</v>
      </c>
      <c r="CI25" s="24"/>
      <c r="CJ25" s="24"/>
      <c r="CK25" s="24"/>
      <c r="CL25" s="24"/>
      <c r="CM25" s="73" t="s">
        <v>91</v>
      </c>
      <c r="CN25" s="83" t="e">
        <f>CF25+CN23</f>
        <v>#N/A</v>
      </c>
      <c r="CO25" s="17" t="s">
        <v>92</v>
      </c>
      <c r="CQ25" s="24"/>
      <c r="CR25" s="24"/>
      <c r="CS25" s="24"/>
      <c r="CT25" s="24"/>
      <c r="CU25" s="73" t="s">
        <v>91</v>
      </c>
      <c r="CV25" s="83" t="e">
        <f>CN25+CV23</f>
        <v>#N/A</v>
      </c>
      <c r="CW25" s="17" t="s">
        <v>92</v>
      </c>
      <c r="CY25" s="24"/>
      <c r="CZ25" s="24"/>
      <c r="DA25" s="24"/>
      <c r="DB25" s="24"/>
      <c r="DC25" s="73" t="s">
        <v>91</v>
      </c>
      <c r="DD25" s="83" t="e">
        <f>CV25+DD23</f>
        <v>#N/A</v>
      </c>
      <c r="DE25" s="17" t="s">
        <v>92</v>
      </c>
      <c r="DG25" s="24"/>
      <c r="DH25" s="24"/>
      <c r="DI25" s="24"/>
      <c r="DJ25" s="24"/>
      <c r="DK25" s="73" t="s">
        <v>91</v>
      </c>
      <c r="DL25" s="83" t="e">
        <f>DD25+DL23</f>
        <v>#N/A</v>
      </c>
      <c r="DM25" s="17" t="s">
        <v>92</v>
      </c>
      <c r="DO25" s="24"/>
      <c r="DP25" s="24"/>
      <c r="DQ25" s="24"/>
      <c r="DR25" s="24"/>
      <c r="DS25" s="73" t="s">
        <v>91</v>
      </c>
      <c r="DT25" s="83" t="e">
        <f>DL25+DT23</f>
        <v>#N/A</v>
      </c>
      <c r="DU25" s="17" t="s">
        <v>92</v>
      </c>
      <c r="DW25" s="24"/>
      <c r="DX25" s="24"/>
      <c r="DY25" s="24"/>
      <c r="DZ25" s="24"/>
      <c r="EA25" s="73" t="s">
        <v>91</v>
      </c>
      <c r="EB25" s="83" t="e">
        <f>DT25+EB23</f>
        <v>#N/A</v>
      </c>
      <c r="EC25" s="17" t="s">
        <v>92</v>
      </c>
      <c r="EE25" s="24"/>
      <c r="EF25" s="24"/>
      <c r="EG25" s="24"/>
      <c r="EH25" s="24"/>
      <c r="EI25" s="73" t="s">
        <v>91</v>
      </c>
      <c r="EJ25" s="83" t="e">
        <f>EB25+EJ23</f>
        <v>#N/A</v>
      </c>
      <c r="EK25" s="17" t="s">
        <v>92</v>
      </c>
      <c r="EM25" s="24"/>
      <c r="EN25" s="24"/>
      <c r="EO25" s="24"/>
      <c r="EP25" s="24"/>
      <c r="EQ25" s="73" t="s">
        <v>91</v>
      </c>
      <c r="ER25" s="83" t="e">
        <f>EJ25+ER23</f>
        <v>#N/A</v>
      </c>
      <c r="ES25" s="17" t="s">
        <v>92</v>
      </c>
      <c r="EU25" s="24"/>
      <c r="EV25" s="24"/>
      <c r="EW25" s="24"/>
      <c r="EX25" s="24"/>
      <c r="EY25" s="73" t="s">
        <v>91</v>
      </c>
      <c r="EZ25" s="83" t="e">
        <f>ER25+EZ23</f>
        <v>#N/A</v>
      </c>
      <c r="FA25" s="17" t="s">
        <v>92</v>
      </c>
      <c r="FC25" s="24"/>
      <c r="FD25" s="24"/>
      <c r="FE25" s="24"/>
      <c r="FF25" s="24"/>
      <c r="FG25" s="73" t="s">
        <v>91</v>
      </c>
      <c r="FH25" s="83" t="e">
        <f>EZ25+FH23</f>
        <v>#N/A</v>
      </c>
      <c r="FI25" s="17" t="s">
        <v>92</v>
      </c>
      <c r="FK25" s="24"/>
      <c r="FL25" s="24"/>
      <c r="FM25" s="24"/>
      <c r="FN25" s="24"/>
      <c r="FO25" s="73" t="s">
        <v>91</v>
      </c>
      <c r="FP25" s="83" t="e">
        <f>FH25+FP23</f>
        <v>#N/A</v>
      </c>
      <c r="FQ25" s="17" t="s">
        <v>92</v>
      </c>
      <c r="FS25" s="24"/>
      <c r="FT25" s="24"/>
      <c r="FU25" s="24"/>
      <c r="FV25" s="24"/>
      <c r="FW25" s="73" t="s">
        <v>91</v>
      </c>
      <c r="FX25" s="83" t="e">
        <f>FP25+FX23</f>
        <v>#N/A</v>
      </c>
      <c r="FY25" s="17" t="s">
        <v>92</v>
      </c>
      <c r="GA25" s="24"/>
      <c r="GB25" s="24"/>
      <c r="GC25" s="24"/>
      <c r="GD25" s="24"/>
      <c r="GE25" s="73" t="s">
        <v>91</v>
      </c>
      <c r="GF25" s="83" t="e">
        <f>FX25+GF23</f>
        <v>#N/A</v>
      </c>
      <c r="GG25" s="17" t="s">
        <v>92</v>
      </c>
      <c r="GI25" s="24"/>
      <c r="GJ25" s="24"/>
      <c r="GK25" s="24"/>
      <c r="GL25" s="24"/>
      <c r="GM25" s="73" t="s">
        <v>91</v>
      </c>
      <c r="GN25" s="83" t="e">
        <f>GF25+GN23</f>
        <v>#N/A</v>
      </c>
      <c r="GO25" s="17" t="s">
        <v>92</v>
      </c>
    </row>
    <row r="26" spans="1:32" ht="14.25">
      <c r="A26" s="141"/>
      <c r="B26" s="141"/>
      <c r="C26" s="184" t="s">
        <v>103</v>
      </c>
      <c r="D26" s="116"/>
      <c r="E26" s="141" t="s">
        <v>4</v>
      </c>
      <c r="F26" s="141"/>
      <c r="G26" s="139"/>
      <c r="H26" s="139"/>
      <c r="I26" s="139"/>
      <c r="K26" s="36"/>
      <c r="L26" s="38"/>
      <c r="M26" s="38"/>
      <c r="N26" s="38"/>
      <c r="O26" s="61"/>
      <c r="P26" s="62"/>
      <c r="Q26" s="77"/>
      <c r="R26" s="77"/>
      <c r="S26" s="77"/>
      <c r="T26" s="77"/>
      <c r="U26" s="77"/>
      <c r="AA26" s="24"/>
      <c r="AB26" s="24"/>
      <c r="AC26" s="24"/>
      <c r="AD26" s="24"/>
      <c r="AE26" s="24"/>
      <c r="AF26" s="24"/>
    </row>
    <row r="27" spans="1:32" ht="14.25">
      <c r="A27" s="139"/>
      <c r="B27" s="139"/>
      <c r="C27" s="139"/>
      <c r="D27" s="139"/>
      <c r="E27" s="139"/>
      <c r="F27" s="139"/>
      <c r="G27" s="201" t="e">
        <f>N76</f>
        <v>#N/A</v>
      </c>
      <c r="H27" s="202" t="s">
        <v>104</v>
      </c>
      <c r="I27" s="203"/>
      <c r="K27" s="23"/>
      <c r="L27" s="23"/>
      <c r="M27" s="23"/>
      <c r="N27" s="23"/>
      <c r="O27" s="23" t="s">
        <v>94</v>
      </c>
      <c r="P27" s="68">
        <f>SUM(P18:P26)</f>
        <v>0</v>
      </c>
      <c r="Q27" s="77"/>
      <c r="R27" s="77"/>
      <c r="S27" s="78" t="s">
        <v>95</v>
      </c>
      <c r="T27" s="85" t="e">
        <f>M44</f>
        <v>#DIV/0!</v>
      </c>
      <c r="U27" s="77" t="s">
        <v>22</v>
      </c>
      <c r="AA27" s="24"/>
      <c r="AB27" s="24"/>
      <c r="AC27" s="24"/>
      <c r="AD27" s="24"/>
      <c r="AE27" s="24"/>
      <c r="AF27" s="24"/>
    </row>
    <row r="28" spans="7:32" ht="14.25">
      <c r="G28" s="204" t="s">
        <v>276</v>
      </c>
      <c r="H28" s="155"/>
      <c r="I28" s="205"/>
      <c r="K28" s="23"/>
      <c r="L28" s="23"/>
      <c r="M28" s="23"/>
      <c r="N28" s="23"/>
      <c r="O28" s="23"/>
      <c r="P28" s="23"/>
      <c r="Q28" s="77"/>
      <c r="R28" s="86"/>
      <c r="S28" s="77"/>
      <c r="T28" s="77"/>
      <c r="U28" s="77"/>
      <c r="V28" s="24"/>
      <c r="AA28" s="24"/>
      <c r="AB28" s="24"/>
      <c r="AC28" s="76"/>
      <c r="AD28" s="24"/>
      <c r="AE28" s="24"/>
      <c r="AF28" s="24"/>
    </row>
    <row r="29" spans="1:32" ht="14.25">
      <c r="A29" s="124"/>
      <c r="B29" s="124"/>
      <c r="C29" s="124"/>
      <c r="D29" s="124"/>
      <c r="E29" s="124"/>
      <c r="F29" s="124"/>
      <c r="G29" s="124"/>
      <c r="H29" s="124"/>
      <c r="I29" s="124"/>
      <c r="K29" s="23" t="s">
        <v>98</v>
      </c>
      <c r="L29" s="23" t="s">
        <v>99</v>
      </c>
      <c r="M29" s="23"/>
      <c r="N29" s="23"/>
      <c r="O29" s="23"/>
      <c r="P29" s="23"/>
      <c r="Q29" s="77"/>
      <c r="R29" s="87"/>
      <c r="S29" s="77"/>
      <c r="T29" s="77"/>
      <c r="U29" s="77"/>
      <c r="V29" s="24"/>
      <c r="Y29" s="24"/>
      <c r="Z29" s="24"/>
      <c r="AA29" s="31"/>
      <c r="AB29" s="31"/>
      <c r="AC29" s="31"/>
      <c r="AD29" s="31"/>
      <c r="AE29" s="31"/>
      <c r="AF29" s="24"/>
    </row>
    <row r="30" spans="1:32" ht="14.25">
      <c r="A30" s="185"/>
      <c r="B30" s="186"/>
      <c r="C30" s="187" t="s">
        <v>292</v>
      </c>
      <c r="D30" s="188"/>
      <c r="E30" s="186"/>
      <c r="F30" s="186" t="s">
        <v>22</v>
      </c>
      <c r="G30" s="189" t="s">
        <v>264</v>
      </c>
      <c r="H30" s="186"/>
      <c r="I30" s="124"/>
      <c r="K30" s="19"/>
      <c r="L30" s="19" t="s">
        <v>100</v>
      </c>
      <c r="M30" s="20"/>
      <c r="N30" s="88" t="e">
        <f>IF(P27/M8&lt;100,P27/M8,100)</f>
        <v>#DIV/0!</v>
      </c>
      <c r="O30" s="89" t="e">
        <f>IF(D13=2,N30*P35,N30*P35/2)</f>
        <v>#DIV/0!</v>
      </c>
      <c r="P30" s="22" t="s">
        <v>82</v>
      </c>
      <c r="Q30" s="23"/>
      <c r="R30" s="34"/>
      <c r="S30" s="49"/>
      <c r="T30" s="34"/>
      <c r="U30" s="34"/>
      <c r="V30" s="24"/>
      <c r="Y30" s="24"/>
      <c r="Z30" s="24"/>
      <c r="AA30" s="24"/>
      <c r="AB30" s="24"/>
      <c r="AC30" s="24"/>
      <c r="AD30" s="24"/>
      <c r="AE30" s="24"/>
      <c r="AF30" s="24"/>
    </row>
    <row r="31" spans="1:225" ht="14.25">
      <c r="A31" s="124"/>
      <c r="B31" s="124"/>
      <c r="C31" s="187" t="s">
        <v>291</v>
      </c>
      <c r="D31" s="124"/>
      <c r="E31" s="124"/>
      <c r="F31" s="124"/>
      <c r="G31" s="189" t="s">
        <v>265</v>
      </c>
      <c r="H31" s="186"/>
      <c r="I31" s="124"/>
      <c r="K31" s="32"/>
      <c r="L31" s="36" t="s">
        <v>101</v>
      </c>
      <c r="M31" s="90"/>
      <c r="N31" s="38"/>
      <c r="O31" s="39"/>
      <c r="P31" s="35"/>
      <c r="Q31" s="23"/>
      <c r="R31" s="34"/>
      <c r="S31" s="49"/>
      <c r="T31" s="34"/>
      <c r="U31" s="34"/>
      <c r="V31" s="24"/>
      <c r="Y31" s="17">
        <f>VLOOKUP(23,$P$73:$S$128,$R$71+1)</f>
        <v>0.2</v>
      </c>
      <c r="Z31" s="17" t="s">
        <v>17</v>
      </c>
      <c r="AB31" s="24"/>
      <c r="AC31" s="24"/>
      <c r="AD31" s="24"/>
      <c r="AG31" s="17">
        <f>VLOOKUP(24,$P$73:$S$128,$R$71+1)</f>
        <v>0.51</v>
      </c>
      <c r="AH31" s="17" t="s">
        <v>17</v>
      </c>
      <c r="AJ31" s="24"/>
      <c r="AK31" s="24"/>
      <c r="AO31" s="17">
        <f>VLOOKUP(25,$P$73:$S$128,$R$71+1)</f>
        <v>1.2</v>
      </c>
      <c r="AP31" s="17" t="s">
        <v>17</v>
      </c>
      <c r="AR31" s="24"/>
      <c r="AS31" s="24"/>
      <c r="AW31" s="17">
        <f>VLOOKUP(26,$P$73:$S$128,$R$71+1)</f>
        <v>0.21</v>
      </c>
      <c r="AX31" s="17" t="s">
        <v>17</v>
      </c>
      <c r="AZ31" s="24"/>
      <c r="BA31" s="24"/>
      <c r="BE31" s="17">
        <f>VLOOKUP(27,$P$73:$S$128,$R$71+1)</f>
        <v>0.98</v>
      </c>
      <c r="BF31" s="17" t="s">
        <v>17</v>
      </c>
      <c r="BH31" s="24"/>
      <c r="BI31" s="24"/>
      <c r="BM31" s="17">
        <f>VLOOKUP(28,$P$73:$S$128,$R$71+1)</f>
        <v>0.29</v>
      </c>
      <c r="BN31" s="17" t="s">
        <v>17</v>
      </c>
      <c r="BP31" s="24"/>
      <c r="BQ31" s="24"/>
      <c r="BU31" s="17">
        <f>VLOOKUP(29,$P$73:$S$128,$R$71+1)</f>
        <v>0.64</v>
      </c>
      <c r="BV31" s="17" t="s">
        <v>17</v>
      </c>
      <c r="BX31" s="24"/>
      <c r="BY31" s="24"/>
      <c r="CC31" s="17">
        <f>VLOOKUP(30,$P$73:$S$128,$R$71+1)</f>
        <v>1.88</v>
      </c>
      <c r="CD31" s="17" t="s">
        <v>17</v>
      </c>
      <c r="CF31" s="24"/>
      <c r="CG31" s="24"/>
      <c r="CK31" s="17">
        <f>VLOOKUP(31,$P$73:$S$128,$R$71+1)</f>
        <v>0.7</v>
      </c>
      <c r="CL31" s="17" t="s">
        <v>17</v>
      </c>
      <c r="CN31" s="24"/>
      <c r="CO31" s="24"/>
      <c r="CS31" s="17">
        <f>VLOOKUP(32,$P$73:$S$128,$R$71+1)</f>
        <v>1</v>
      </c>
      <c r="CT31" s="17" t="s">
        <v>17</v>
      </c>
      <c r="CV31" s="24"/>
      <c r="CW31" s="24"/>
      <c r="DA31" s="17">
        <f>VLOOKUP(33,$P$73:$S$128,$R$71+1)</f>
        <v>0.14</v>
      </c>
      <c r="DB31" s="17" t="s">
        <v>17</v>
      </c>
      <c r="DD31" s="24"/>
      <c r="DE31" s="24"/>
      <c r="DI31" s="17">
        <f>VLOOKUP(34,$P$73:$S$128,$R$71+1)</f>
        <v>0.32</v>
      </c>
      <c r="DJ31" s="17" t="s">
        <v>17</v>
      </c>
      <c r="DL31" s="24"/>
      <c r="DM31" s="24"/>
      <c r="DQ31" s="17">
        <f>VLOOKUP(35,$P$73:$S$128,$R$71+1)</f>
        <v>0.72</v>
      </c>
      <c r="DR31" s="17" t="s">
        <v>17</v>
      </c>
      <c r="DT31" s="24"/>
      <c r="DU31" s="24"/>
      <c r="DY31" s="17">
        <f>VLOOKUP(36,$P$73:$S$128,$R$71+1)</f>
        <v>0.16</v>
      </c>
      <c r="DZ31" s="17" t="s">
        <v>17</v>
      </c>
      <c r="EB31" s="24"/>
      <c r="EC31" s="24"/>
      <c r="EG31" s="17">
        <f>VLOOKUP(37,$P$73:$S$128,$R$71+1)</f>
        <v>0.32</v>
      </c>
      <c r="EH31" s="17" t="s">
        <v>17</v>
      </c>
      <c r="EJ31" s="24"/>
      <c r="EK31" s="24"/>
      <c r="EO31" s="17">
        <f>VLOOKUP(38,$P$73:$S$128,$R$71+1)</f>
        <v>0.83</v>
      </c>
      <c r="EP31" s="17" t="s">
        <v>17</v>
      </c>
      <c r="ER31" s="24"/>
      <c r="ES31" s="24"/>
      <c r="EW31" s="17">
        <f>VLOOKUP(39,$P$73:$S$128,$R$71+1)</f>
        <v>0.7</v>
      </c>
      <c r="EX31" s="17" t="s">
        <v>17</v>
      </c>
      <c r="EZ31" s="24"/>
      <c r="FA31" s="24"/>
      <c r="FE31" s="17">
        <f>VLOOKUP(40,$P$73:$S$128,$R$71+1)</f>
        <v>0.47</v>
      </c>
      <c r="FF31" s="17" t="s">
        <v>17</v>
      </c>
      <c r="FH31" s="24"/>
      <c r="FI31" s="24"/>
      <c r="FJ31" s="24"/>
      <c r="FM31" s="17">
        <f>VLOOKUP(41,$P$73:$S$128,$R$71+1)</f>
        <v>0.25</v>
      </c>
      <c r="FN31" s="17" t="s">
        <v>17</v>
      </c>
      <c r="FP31" s="24"/>
      <c r="FQ31" s="24"/>
      <c r="FR31" s="24"/>
      <c r="FU31" s="17">
        <f>VLOOKUP(42,$P$73:$S$128,$R$71+1)</f>
        <v>0.72</v>
      </c>
      <c r="FV31" s="17" t="s">
        <v>17</v>
      </c>
      <c r="FX31" s="24"/>
      <c r="FY31" s="24"/>
      <c r="FZ31" s="24"/>
      <c r="GC31" s="17">
        <f>VLOOKUP(43,$P$73:$S$128,$R$71+1)</f>
        <v>0.58</v>
      </c>
      <c r="GD31" s="17" t="s">
        <v>17</v>
      </c>
      <c r="GF31" s="24"/>
      <c r="GG31" s="24"/>
      <c r="GH31" s="24"/>
      <c r="GK31" s="17">
        <f>VLOOKUP(44,$P$73:$S$128,$R$71+1)</f>
        <v>0.18</v>
      </c>
      <c r="GL31" s="17" t="s">
        <v>17</v>
      </c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</row>
    <row r="32" spans="11:225" ht="14.25">
      <c r="K32" s="32"/>
      <c r="L32" s="34"/>
      <c r="M32" s="34"/>
      <c r="N32" s="34"/>
      <c r="O32" s="34"/>
      <c r="P32" s="35"/>
      <c r="Q32" s="23"/>
      <c r="R32" s="34"/>
      <c r="S32" s="34"/>
      <c r="T32" s="23"/>
      <c r="U32" s="23"/>
      <c r="W32" s="40"/>
      <c r="X32" s="41" t="s">
        <v>42</v>
      </c>
      <c r="Y32" s="41" t="s">
        <v>43</v>
      </c>
      <c r="Z32" s="42" t="s">
        <v>0</v>
      </c>
      <c r="AA32" s="42" t="s">
        <v>44</v>
      </c>
      <c r="AB32" s="41" t="s">
        <v>45</v>
      </c>
      <c r="AC32" s="43" t="s">
        <v>46</v>
      </c>
      <c r="AD32" s="25"/>
      <c r="AE32" s="40"/>
      <c r="AF32" s="41" t="s">
        <v>42</v>
      </c>
      <c r="AG32" s="41" t="s">
        <v>43</v>
      </c>
      <c r="AH32" s="42" t="s">
        <v>0</v>
      </c>
      <c r="AI32" s="42" t="s">
        <v>44</v>
      </c>
      <c r="AJ32" s="41" t="s">
        <v>45</v>
      </c>
      <c r="AK32" s="43" t="s">
        <v>46</v>
      </c>
      <c r="AM32" s="40"/>
      <c r="AN32" s="41" t="s">
        <v>42</v>
      </c>
      <c r="AO32" s="41" t="s">
        <v>43</v>
      </c>
      <c r="AP32" s="42" t="s">
        <v>0</v>
      </c>
      <c r="AQ32" s="42" t="s">
        <v>44</v>
      </c>
      <c r="AR32" s="41" t="s">
        <v>45</v>
      </c>
      <c r="AS32" s="43" t="s">
        <v>46</v>
      </c>
      <c r="AU32" s="40"/>
      <c r="AV32" s="41" t="s">
        <v>42</v>
      </c>
      <c r="AW32" s="41" t="s">
        <v>43</v>
      </c>
      <c r="AX32" s="42" t="s">
        <v>0</v>
      </c>
      <c r="AY32" s="42" t="s">
        <v>44</v>
      </c>
      <c r="AZ32" s="41" t="s">
        <v>45</v>
      </c>
      <c r="BA32" s="43" t="s">
        <v>46</v>
      </c>
      <c r="BC32" s="40"/>
      <c r="BD32" s="41" t="s">
        <v>42</v>
      </c>
      <c r="BE32" s="41" t="s">
        <v>43</v>
      </c>
      <c r="BF32" s="42" t="s">
        <v>0</v>
      </c>
      <c r="BG32" s="42" t="s">
        <v>44</v>
      </c>
      <c r="BH32" s="41" t="s">
        <v>45</v>
      </c>
      <c r="BI32" s="43" t="s">
        <v>46</v>
      </c>
      <c r="BK32" s="40"/>
      <c r="BL32" s="41" t="s">
        <v>42</v>
      </c>
      <c r="BM32" s="41" t="s">
        <v>43</v>
      </c>
      <c r="BN32" s="42" t="s">
        <v>0</v>
      </c>
      <c r="BO32" s="42" t="s">
        <v>44</v>
      </c>
      <c r="BP32" s="41" t="s">
        <v>45</v>
      </c>
      <c r="BQ32" s="43" t="s">
        <v>46</v>
      </c>
      <c r="BS32" s="40"/>
      <c r="BT32" s="41" t="s">
        <v>42</v>
      </c>
      <c r="BU32" s="41" t="s">
        <v>43</v>
      </c>
      <c r="BV32" s="42" t="s">
        <v>0</v>
      </c>
      <c r="BW32" s="42" t="s">
        <v>44</v>
      </c>
      <c r="BX32" s="41" t="s">
        <v>45</v>
      </c>
      <c r="BY32" s="43" t="s">
        <v>46</v>
      </c>
      <c r="CA32" s="40"/>
      <c r="CB32" s="41" t="s">
        <v>42</v>
      </c>
      <c r="CC32" s="41" t="s">
        <v>43</v>
      </c>
      <c r="CD32" s="42" t="s">
        <v>0</v>
      </c>
      <c r="CE32" s="42" t="s">
        <v>44</v>
      </c>
      <c r="CF32" s="41" t="s">
        <v>45</v>
      </c>
      <c r="CG32" s="43" t="s">
        <v>46</v>
      </c>
      <c r="CI32" s="40"/>
      <c r="CJ32" s="41" t="s">
        <v>42</v>
      </c>
      <c r="CK32" s="41" t="s">
        <v>43</v>
      </c>
      <c r="CL32" s="42" t="s">
        <v>0</v>
      </c>
      <c r="CM32" s="42" t="s">
        <v>44</v>
      </c>
      <c r="CN32" s="41" t="s">
        <v>45</v>
      </c>
      <c r="CO32" s="43" t="s">
        <v>46</v>
      </c>
      <c r="CQ32" s="40"/>
      <c r="CR32" s="41" t="s">
        <v>42</v>
      </c>
      <c r="CS32" s="41" t="s">
        <v>43</v>
      </c>
      <c r="CT32" s="42" t="s">
        <v>0</v>
      </c>
      <c r="CU32" s="42" t="s">
        <v>44</v>
      </c>
      <c r="CV32" s="41" t="s">
        <v>45</v>
      </c>
      <c r="CW32" s="43" t="s">
        <v>46</v>
      </c>
      <c r="CY32" s="40"/>
      <c r="CZ32" s="41" t="s">
        <v>42</v>
      </c>
      <c r="DA32" s="41" t="s">
        <v>43</v>
      </c>
      <c r="DB32" s="42" t="s">
        <v>0</v>
      </c>
      <c r="DC32" s="42" t="s">
        <v>44</v>
      </c>
      <c r="DD32" s="41" t="s">
        <v>45</v>
      </c>
      <c r="DE32" s="43" t="s">
        <v>46</v>
      </c>
      <c r="DG32" s="40"/>
      <c r="DH32" s="41" t="s">
        <v>42</v>
      </c>
      <c r="DI32" s="41" t="s">
        <v>43</v>
      </c>
      <c r="DJ32" s="42" t="s">
        <v>0</v>
      </c>
      <c r="DK32" s="42" t="s">
        <v>44</v>
      </c>
      <c r="DL32" s="41" t="s">
        <v>45</v>
      </c>
      <c r="DM32" s="43" t="s">
        <v>46</v>
      </c>
      <c r="DO32" s="40"/>
      <c r="DP32" s="41" t="s">
        <v>42</v>
      </c>
      <c r="DQ32" s="41" t="s">
        <v>43</v>
      </c>
      <c r="DR32" s="42" t="s">
        <v>0</v>
      </c>
      <c r="DS32" s="42" t="s">
        <v>44</v>
      </c>
      <c r="DT32" s="41" t="s">
        <v>45</v>
      </c>
      <c r="DU32" s="43" t="s">
        <v>46</v>
      </c>
      <c r="DW32" s="40"/>
      <c r="DX32" s="41" t="s">
        <v>42</v>
      </c>
      <c r="DY32" s="41" t="s">
        <v>43</v>
      </c>
      <c r="DZ32" s="42" t="s">
        <v>0</v>
      </c>
      <c r="EA32" s="42" t="s">
        <v>44</v>
      </c>
      <c r="EB32" s="41" t="s">
        <v>45</v>
      </c>
      <c r="EC32" s="43" t="s">
        <v>46</v>
      </c>
      <c r="EE32" s="40"/>
      <c r="EF32" s="41" t="s">
        <v>42</v>
      </c>
      <c r="EG32" s="41" t="s">
        <v>43</v>
      </c>
      <c r="EH32" s="42" t="s">
        <v>0</v>
      </c>
      <c r="EI32" s="42" t="s">
        <v>44</v>
      </c>
      <c r="EJ32" s="41" t="s">
        <v>45</v>
      </c>
      <c r="EK32" s="43" t="s">
        <v>46</v>
      </c>
      <c r="EM32" s="40"/>
      <c r="EN32" s="41" t="s">
        <v>42</v>
      </c>
      <c r="EO32" s="41" t="s">
        <v>43</v>
      </c>
      <c r="EP32" s="42" t="s">
        <v>0</v>
      </c>
      <c r="EQ32" s="42" t="s">
        <v>44</v>
      </c>
      <c r="ER32" s="41" t="s">
        <v>45</v>
      </c>
      <c r="ES32" s="43" t="s">
        <v>46</v>
      </c>
      <c r="EU32" s="40"/>
      <c r="EV32" s="41" t="s">
        <v>42</v>
      </c>
      <c r="EW32" s="41" t="s">
        <v>43</v>
      </c>
      <c r="EX32" s="42" t="s">
        <v>0</v>
      </c>
      <c r="EY32" s="42" t="s">
        <v>44</v>
      </c>
      <c r="EZ32" s="41" t="s">
        <v>45</v>
      </c>
      <c r="FA32" s="43" t="s">
        <v>46</v>
      </c>
      <c r="FC32" s="40"/>
      <c r="FD32" s="41" t="s">
        <v>42</v>
      </c>
      <c r="FE32" s="41" t="s">
        <v>43</v>
      </c>
      <c r="FF32" s="42" t="s">
        <v>0</v>
      </c>
      <c r="FG32" s="42" t="s">
        <v>44</v>
      </c>
      <c r="FH32" s="41" t="s">
        <v>45</v>
      </c>
      <c r="FI32" s="43" t="s">
        <v>46</v>
      </c>
      <c r="FJ32" s="24"/>
      <c r="FK32" s="40"/>
      <c r="FL32" s="41" t="s">
        <v>42</v>
      </c>
      <c r="FM32" s="41" t="s">
        <v>43</v>
      </c>
      <c r="FN32" s="42" t="s">
        <v>0</v>
      </c>
      <c r="FO32" s="42" t="s">
        <v>44</v>
      </c>
      <c r="FP32" s="41" t="s">
        <v>45</v>
      </c>
      <c r="FQ32" s="43" t="s">
        <v>46</v>
      </c>
      <c r="FR32" s="24"/>
      <c r="FS32" s="40"/>
      <c r="FT32" s="41" t="s">
        <v>42</v>
      </c>
      <c r="FU32" s="41" t="s">
        <v>43</v>
      </c>
      <c r="FV32" s="42" t="s">
        <v>0</v>
      </c>
      <c r="FW32" s="42" t="s">
        <v>44</v>
      </c>
      <c r="FX32" s="41" t="s">
        <v>45</v>
      </c>
      <c r="FY32" s="43" t="s">
        <v>46</v>
      </c>
      <c r="FZ32" s="24"/>
      <c r="GA32" s="40"/>
      <c r="GB32" s="41" t="s">
        <v>42</v>
      </c>
      <c r="GC32" s="41" t="s">
        <v>43</v>
      </c>
      <c r="GD32" s="42" t="s">
        <v>0</v>
      </c>
      <c r="GE32" s="42" t="s">
        <v>44</v>
      </c>
      <c r="GF32" s="41" t="s">
        <v>45</v>
      </c>
      <c r="GG32" s="43" t="s">
        <v>46</v>
      </c>
      <c r="GH32" s="24"/>
      <c r="GI32" s="40"/>
      <c r="GJ32" s="41" t="s">
        <v>42</v>
      </c>
      <c r="GK32" s="41" t="s">
        <v>43</v>
      </c>
      <c r="GL32" s="42" t="s">
        <v>0</v>
      </c>
      <c r="GM32" s="42" t="s">
        <v>44</v>
      </c>
      <c r="GN32" s="41" t="s">
        <v>45</v>
      </c>
      <c r="GO32" s="43" t="s">
        <v>46</v>
      </c>
      <c r="GP32" s="24"/>
      <c r="GQ32" s="24"/>
      <c r="GR32" s="24"/>
      <c r="GS32" s="24"/>
      <c r="GT32" s="25"/>
      <c r="GU32" s="25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</row>
    <row r="33" spans="1:225" ht="14.25">
      <c r="A33" s="135"/>
      <c r="B33" s="135"/>
      <c r="C33" s="135"/>
      <c r="D33" s="135"/>
      <c r="E33" s="135"/>
      <c r="F33" s="135"/>
      <c r="G33" s="135"/>
      <c r="H33" s="135"/>
      <c r="I33" s="135"/>
      <c r="K33" s="19" t="s">
        <v>102</v>
      </c>
      <c r="L33" s="20"/>
      <c r="M33" s="20"/>
      <c r="N33" s="20"/>
      <c r="O33" s="20"/>
      <c r="P33" s="70" t="s">
        <v>66</v>
      </c>
      <c r="Q33" s="23"/>
      <c r="R33" s="34"/>
      <c r="S33" s="49"/>
      <c r="T33" s="23"/>
      <c r="U33" s="23"/>
      <c r="W33" s="51" t="s">
        <v>50</v>
      </c>
      <c r="X33" s="24">
        <f>$E$12</f>
        <v>0</v>
      </c>
      <c r="Y33" s="52">
        <f>X33/43560</f>
        <v>0</v>
      </c>
      <c r="Z33" s="53" t="e">
        <f>$O$4</f>
        <v>#N/A</v>
      </c>
      <c r="AA33" s="31" t="e">
        <f>(1000/Z33)-10</f>
        <v>#N/A</v>
      </c>
      <c r="AB33" s="31" t="e">
        <f>(Y31-0.2*AA33)^2/(Y31+0.8*AA33)</f>
        <v>#N/A</v>
      </c>
      <c r="AC33" s="54" t="e">
        <f>IF(Y31&gt;0,AB33*Y33,0)</f>
        <v>#N/A</v>
      </c>
      <c r="AD33" s="25"/>
      <c r="AE33" s="51" t="s">
        <v>50</v>
      </c>
      <c r="AF33" s="24">
        <f>$E$12</f>
        <v>0</v>
      </c>
      <c r="AG33" s="52">
        <f>AF33/43560</f>
        <v>0</v>
      </c>
      <c r="AH33" s="53" t="e">
        <f>$O$4</f>
        <v>#N/A</v>
      </c>
      <c r="AI33" s="31" t="e">
        <f>(1000/AH33)-10</f>
        <v>#N/A</v>
      </c>
      <c r="AJ33" s="31" t="e">
        <f>(AG31-0.2*AI33)^2/(AG31+0.8*AI33)</f>
        <v>#N/A</v>
      </c>
      <c r="AK33" s="54" t="e">
        <f>IF(AG31&gt;0,AJ33*AG33,0)</f>
        <v>#N/A</v>
      </c>
      <c r="AM33" s="51" t="s">
        <v>50</v>
      </c>
      <c r="AN33" s="24">
        <f>$E$12</f>
        <v>0</v>
      </c>
      <c r="AO33" s="52">
        <f>AN33/43560</f>
        <v>0</v>
      </c>
      <c r="AP33" s="53" t="e">
        <f>$O$4</f>
        <v>#N/A</v>
      </c>
      <c r="AQ33" s="31" t="e">
        <f>(1000/AP33)-10</f>
        <v>#N/A</v>
      </c>
      <c r="AR33" s="31" t="e">
        <f>(AO31-0.2*AQ33)^2/(AO31+0.8*AQ33)</f>
        <v>#N/A</v>
      </c>
      <c r="AS33" s="54" t="e">
        <f>IF(AO31&gt;0,AR33*AO33,0)</f>
        <v>#N/A</v>
      </c>
      <c r="AU33" s="51" t="s">
        <v>50</v>
      </c>
      <c r="AV33" s="24">
        <f>$E$12</f>
        <v>0</v>
      </c>
      <c r="AW33" s="52">
        <f>AV33/43560</f>
        <v>0</v>
      </c>
      <c r="AX33" s="53" t="e">
        <f>$O$4</f>
        <v>#N/A</v>
      </c>
      <c r="AY33" s="31" t="e">
        <f>(1000/AX33)-10</f>
        <v>#N/A</v>
      </c>
      <c r="AZ33" s="31" t="e">
        <f>(AW31-0.2*AY33)^2/(AW31+0.8*AY33)</f>
        <v>#N/A</v>
      </c>
      <c r="BA33" s="54" t="e">
        <f>IF(AW31&gt;0,AZ33*AW33,0)</f>
        <v>#N/A</v>
      </c>
      <c r="BC33" s="51" t="s">
        <v>50</v>
      </c>
      <c r="BD33" s="24">
        <f>$E$12</f>
        <v>0</v>
      </c>
      <c r="BE33" s="52">
        <f>BD33/43560</f>
        <v>0</v>
      </c>
      <c r="BF33" s="53" t="e">
        <f>$O$4</f>
        <v>#N/A</v>
      </c>
      <c r="BG33" s="31" t="e">
        <f>(1000/BF33)-10</f>
        <v>#N/A</v>
      </c>
      <c r="BH33" s="31" t="e">
        <f>(BE31-0.2*BG33)^2/(BE31+0.8*BG33)</f>
        <v>#N/A</v>
      </c>
      <c r="BI33" s="54" t="e">
        <f>IF(BE31&gt;0,BH33*BE33,0)</f>
        <v>#N/A</v>
      </c>
      <c r="BK33" s="51" t="s">
        <v>50</v>
      </c>
      <c r="BL33" s="24">
        <f>$E$12</f>
        <v>0</v>
      </c>
      <c r="BM33" s="52">
        <f>BL33/43560</f>
        <v>0</v>
      </c>
      <c r="BN33" s="53" t="e">
        <f>$O$4</f>
        <v>#N/A</v>
      </c>
      <c r="BO33" s="31" t="e">
        <f>(1000/BN33)-10</f>
        <v>#N/A</v>
      </c>
      <c r="BP33" s="31" t="e">
        <f>(BM31-0.2*BO33)^2/(BM31+0.8*BO33)</f>
        <v>#N/A</v>
      </c>
      <c r="BQ33" s="54" t="e">
        <f>IF(BM31&gt;0,BP33*BM33,0)</f>
        <v>#N/A</v>
      </c>
      <c r="BS33" s="51" t="s">
        <v>50</v>
      </c>
      <c r="BT33" s="24">
        <f>$E$12</f>
        <v>0</v>
      </c>
      <c r="BU33" s="52">
        <f>BT33/43560</f>
        <v>0</v>
      </c>
      <c r="BV33" s="53" t="e">
        <f>$O$4</f>
        <v>#N/A</v>
      </c>
      <c r="BW33" s="31" t="e">
        <f>(1000/BV33)-10</f>
        <v>#N/A</v>
      </c>
      <c r="BX33" s="31" t="e">
        <f>(BU31-0.2*BW33)^2/(BU31+0.8*BW33)</f>
        <v>#N/A</v>
      </c>
      <c r="BY33" s="54" t="e">
        <f>IF(BU31&gt;0,BX33*BU33,0)</f>
        <v>#N/A</v>
      </c>
      <c r="CA33" s="51" t="s">
        <v>50</v>
      </c>
      <c r="CB33" s="24">
        <f>$E$12</f>
        <v>0</v>
      </c>
      <c r="CC33" s="52">
        <f>CB33/43560</f>
        <v>0</v>
      </c>
      <c r="CD33" s="53" t="e">
        <f>$O$4</f>
        <v>#N/A</v>
      </c>
      <c r="CE33" s="31" t="e">
        <f>(1000/CD33)-10</f>
        <v>#N/A</v>
      </c>
      <c r="CF33" s="31" t="e">
        <f>(CC31-0.2*CE33)^2/(CC31+0.8*CE33)</f>
        <v>#N/A</v>
      </c>
      <c r="CG33" s="54" t="e">
        <f>IF(CC31&gt;0,CF33*CC33,0)</f>
        <v>#N/A</v>
      </c>
      <c r="CI33" s="51" t="s">
        <v>50</v>
      </c>
      <c r="CJ33" s="24">
        <f>$E$12</f>
        <v>0</v>
      </c>
      <c r="CK33" s="52">
        <f>CJ33/43560</f>
        <v>0</v>
      </c>
      <c r="CL33" s="53" t="e">
        <f>$O$4</f>
        <v>#N/A</v>
      </c>
      <c r="CM33" s="31" t="e">
        <f>(1000/CL33)-10</f>
        <v>#N/A</v>
      </c>
      <c r="CN33" s="31" t="e">
        <f>(CK31-0.2*CM33)^2/(CK31+0.8*CM33)</f>
        <v>#N/A</v>
      </c>
      <c r="CO33" s="54" t="e">
        <f>IF(CK31&gt;0,CN33*CK33,0)</f>
        <v>#N/A</v>
      </c>
      <c r="CQ33" s="51" t="s">
        <v>50</v>
      </c>
      <c r="CR33" s="24">
        <f>$E$12</f>
        <v>0</v>
      </c>
      <c r="CS33" s="52">
        <f>CR33/43560</f>
        <v>0</v>
      </c>
      <c r="CT33" s="53" t="e">
        <f>$O$4</f>
        <v>#N/A</v>
      </c>
      <c r="CU33" s="31" t="e">
        <f>(1000/CT33)-10</f>
        <v>#N/A</v>
      </c>
      <c r="CV33" s="31" t="e">
        <f>(CS31-0.2*CU33)^2/(CS31+0.8*CU33)</f>
        <v>#N/A</v>
      </c>
      <c r="CW33" s="54" t="e">
        <f>IF(CS31&gt;0,CV33*CS33,0)</f>
        <v>#N/A</v>
      </c>
      <c r="CY33" s="51" t="s">
        <v>50</v>
      </c>
      <c r="CZ33" s="24">
        <f>$E$12</f>
        <v>0</v>
      </c>
      <c r="DA33" s="52">
        <f>CZ33/43560</f>
        <v>0</v>
      </c>
      <c r="DB33" s="53" t="e">
        <f>$O$4</f>
        <v>#N/A</v>
      </c>
      <c r="DC33" s="31" t="e">
        <f>(1000/DB33)-10</f>
        <v>#N/A</v>
      </c>
      <c r="DD33" s="31" t="e">
        <f>(DA31-0.2*DC33)^2/(DA31+0.8*DC33)</f>
        <v>#N/A</v>
      </c>
      <c r="DE33" s="54" t="e">
        <f>IF(DA31&gt;0,DD33*DA33,0)</f>
        <v>#N/A</v>
      </c>
      <c r="DG33" s="51" t="s">
        <v>50</v>
      </c>
      <c r="DH33" s="24">
        <f>$E$12</f>
        <v>0</v>
      </c>
      <c r="DI33" s="52">
        <f>DH33/43560</f>
        <v>0</v>
      </c>
      <c r="DJ33" s="53" t="e">
        <f>$O$4</f>
        <v>#N/A</v>
      </c>
      <c r="DK33" s="31" t="e">
        <f>(1000/DJ33)-10</f>
        <v>#N/A</v>
      </c>
      <c r="DL33" s="31" t="e">
        <f>(DI31-0.2*DK33)^2/(DI31+0.8*DK33)</f>
        <v>#N/A</v>
      </c>
      <c r="DM33" s="54" t="e">
        <f>IF(DI31&gt;0,DL33*DI33,0)</f>
        <v>#N/A</v>
      </c>
      <c r="DO33" s="51" t="s">
        <v>50</v>
      </c>
      <c r="DP33" s="24">
        <f>$E$12</f>
        <v>0</v>
      </c>
      <c r="DQ33" s="52">
        <f>DP33/43560</f>
        <v>0</v>
      </c>
      <c r="DR33" s="53" t="e">
        <f>$O$4</f>
        <v>#N/A</v>
      </c>
      <c r="DS33" s="31" t="e">
        <f>(1000/DR33)-10</f>
        <v>#N/A</v>
      </c>
      <c r="DT33" s="31" t="e">
        <f>(DQ31-0.2*DS33)^2/(DQ31+0.8*DS33)</f>
        <v>#N/A</v>
      </c>
      <c r="DU33" s="54" t="e">
        <f>IF(DQ31&gt;0,DT33*DQ33,0)</f>
        <v>#N/A</v>
      </c>
      <c r="DW33" s="51" t="s">
        <v>50</v>
      </c>
      <c r="DX33" s="24">
        <f>$E$12</f>
        <v>0</v>
      </c>
      <c r="DY33" s="52">
        <f>DX33/43560</f>
        <v>0</v>
      </c>
      <c r="DZ33" s="53" t="e">
        <f>$O$4</f>
        <v>#N/A</v>
      </c>
      <c r="EA33" s="31" t="e">
        <f>(1000/DZ33)-10</f>
        <v>#N/A</v>
      </c>
      <c r="EB33" s="31" t="e">
        <f>(DY31-0.2*EA33)^2/(DY31+0.8*EA33)</f>
        <v>#N/A</v>
      </c>
      <c r="EC33" s="54" t="e">
        <f>IF(DY31&gt;0,EB33*DY33,0)</f>
        <v>#N/A</v>
      </c>
      <c r="EE33" s="51" t="s">
        <v>50</v>
      </c>
      <c r="EF33" s="24">
        <f>$E$12</f>
        <v>0</v>
      </c>
      <c r="EG33" s="52">
        <f>EF33/43560</f>
        <v>0</v>
      </c>
      <c r="EH33" s="53" t="e">
        <f>$O$4</f>
        <v>#N/A</v>
      </c>
      <c r="EI33" s="31" t="e">
        <f>(1000/EH33)-10</f>
        <v>#N/A</v>
      </c>
      <c r="EJ33" s="31" t="e">
        <f>(EG31-0.2*EI33)^2/(EG31+0.8*EI33)</f>
        <v>#N/A</v>
      </c>
      <c r="EK33" s="54" t="e">
        <f>IF(EG31&gt;0,EJ33*EG33,0)</f>
        <v>#N/A</v>
      </c>
      <c r="EM33" s="51" t="s">
        <v>50</v>
      </c>
      <c r="EN33" s="24">
        <f>$E$12</f>
        <v>0</v>
      </c>
      <c r="EO33" s="52">
        <f>EN33/43560</f>
        <v>0</v>
      </c>
      <c r="EP33" s="53" t="e">
        <f>$O$4</f>
        <v>#N/A</v>
      </c>
      <c r="EQ33" s="31" t="e">
        <f>(1000/EP33)-10</f>
        <v>#N/A</v>
      </c>
      <c r="ER33" s="31" t="e">
        <f>(EO31-0.2*EQ33)^2/(EO31+0.8*EQ33)</f>
        <v>#N/A</v>
      </c>
      <c r="ES33" s="54" t="e">
        <f>IF(EO31&gt;0,ER33*EO33,0)</f>
        <v>#N/A</v>
      </c>
      <c r="EU33" s="51" t="s">
        <v>50</v>
      </c>
      <c r="EV33" s="24">
        <f>$E$12</f>
        <v>0</v>
      </c>
      <c r="EW33" s="52">
        <f>EV33/43560</f>
        <v>0</v>
      </c>
      <c r="EX33" s="53" t="e">
        <f>$O$4</f>
        <v>#N/A</v>
      </c>
      <c r="EY33" s="31" t="e">
        <f>(1000/EX33)-10</f>
        <v>#N/A</v>
      </c>
      <c r="EZ33" s="31" t="e">
        <f>(EW31-0.2*EY33)^2/(EW31+0.8*EY33)</f>
        <v>#N/A</v>
      </c>
      <c r="FA33" s="54" t="e">
        <f>IF(EW31&gt;0,EZ33*EW33,0)</f>
        <v>#N/A</v>
      </c>
      <c r="FC33" s="51" t="s">
        <v>50</v>
      </c>
      <c r="FD33" s="24">
        <f>$E$12</f>
        <v>0</v>
      </c>
      <c r="FE33" s="52">
        <f>FD33/43560</f>
        <v>0</v>
      </c>
      <c r="FF33" s="53" t="e">
        <f>$O$4</f>
        <v>#N/A</v>
      </c>
      <c r="FG33" s="31" t="e">
        <f>(1000/FF33)-10</f>
        <v>#N/A</v>
      </c>
      <c r="FH33" s="31" t="e">
        <f>(FE31-0.2*FG33)^2/(FE31+0.8*FG33)</f>
        <v>#N/A</v>
      </c>
      <c r="FI33" s="54" t="e">
        <f>IF(FE31&gt;0,FH33*FE33,0)</f>
        <v>#N/A</v>
      </c>
      <c r="FJ33" s="24"/>
      <c r="FK33" s="51" t="s">
        <v>50</v>
      </c>
      <c r="FL33" s="24">
        <f>$E$12</f>
        <v>0</v>
      </c>
      <c r="FM33" s="52">
        <f>FL33/43560</f>
        <v>0</v>
      </c>
      <c r="FN33" s="53" t="e">
        <f>$O$4</f>
        <v>#N/A</v>
      </c>
      <c r="FO33" s="31" t="e">
        <f>(1000/FN33)-10</f>
        <v>#N/A</v>
      </c>
      <c r="FP33" s="31" t="e">
        <f>(FM31-0.2*FO33)^2/(FM31+0.8*FO33)</f>
        <v>#N/A</v>
      </c>
      <c r="FQ33" s="54" t="e">
        <f>IF(FM31&gt;0,FP33*FM33,0)</f>
        <v>#N/A</v>
      </c>
      <c r="FR33" s="24"/>
      <c r="FS33" s="51" t="s">
        <v>50</v>
      </c>
      <c r="FT33" s="24">
        <f>$E$12</f>
        <v>0</v>
      </c>
      <c r="FU33" s="52">
        <f>FT33/43560</f>
        <v>0</v>
      </c>
      <c r="FV33" s="53" t="e">
        <f>$O$4</f>
        <v>#N/A</v>
      </c>
      <c r="FW33" s="31" t="e">
        <f>(1000/FV33)-10</f>
        <v>#N/A</v>
      </c>
      <c r="FX33" s="31" t="e">
        <f>(FU31-0.2*FW33)^2/(FU31+0.8*FW33)</f>
        <v>#N/A</v>
      </c>
      <c r="FY33" s="54" t="e">
        <f>IF(FU31&gt;0,FX33*FU33,0)</f>
        <v>#N/A</v>
      </c>
      <c r="FZ33" s="24"/>
      <c r="GA33" s="51" t="s">
        <v>50</v>
      </c>
      <c r="GB33" s="24">
        <f>$E$12</f>
        <v>0</v>
      </c>
      <c r="GC33" s="52">
        <f>GB33/43560</f>
        <v>0</v>
      </c>
      <c r="GD33" s="53" t="e">
        <f>$O$4</f>
        <v>#N/A</v>
      </c>
      <c r="GE33" s="31" t="e">
        <f>(1000/GD33)-10</f>
        <v>#N/A</v>
      </c>
      <c r="GF33" s="31" t="e">
        <f>(GC31-0.2*GE33)^2/(GC31+0.8*GE33)</f>
        <v>#N/A</v>
      </c>
      <c r="GG33" s="54" t="e">
        <f>IF(GC31&gt;0,GF33*GC33,0)</f>
        <v>#N/A</v>
      </c>
      <c r="GH33" s="24"/>
      <c r="GI33" s="51" t="s">
        <v>50</v>
      </c>
      <c r="GJ33" s="24">
        <f>$E$12</f>
        <v>0</v>
      </c>
      <c r="GK33" s="52">
        <f>GJ33/43560</f>
        <v>0</v>
      </c>
      <c r="GL33" s="53" t="e">
        <f>$O$4</f>
        <v>#N/A</v>
      </c>
      <c r="GM33" s="31" t="e">
        <f>(1000/GL33)-10</f>
        <v>#N/A</v>
      </c>
      <c r="GN33" s="31" t="e">
        <f>(GK31-0.2*GM33)^2/(GK31+0.8*GM33)</f>
        <v>#N/A</v>
      </c>
      <c r="GO33" s="54" t="e">
        <f>IF(GK31&gt;0,GN33*GK33,0)</f>
        <v>#N/A</v>
      </c>
      <c r="GP33" s="24"/>
      <c r="GQ33" s="73"/>
      <c r="GR33" s="24"/>
      <c r="GS33" s="52"/>
      <c r="GT33" s="53"/>
      <c r="GU33" s="31"/>
      <c r="GV33" s="31"/>
      <c r="GW33" s="31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</row>
    <row r="34" spans="1:225" ht="14.25">
      <c r="A34" s="134" t="s">
        <v>283</v>
      </c>
      <c r="B34" s="135"/>
      <c r="C34" s="135"/>
      <c r="D34" s="135"/>
      <c r="E34" s="135"/>
      <c r="F34" s="135"/>
      <c r="G34" s="135"/>
      <c r="H34" s="135"/>
      <c r="I34" s="135"/>
      <c r="K34" s="32"/>
      <c r="L34" s="34" t="s">
        <v>105</v>
      </c>
      <c r="M34" s="34" t="s">
        <v>106</v>
      </c>
      <c r="N34" s="34" t="s">
        <v>107</v>
      </c>
      <c r="O34" s="71" t="s">
        <v>108</v>
      </c>
      <c r="P34" s="72" t="s">
        <v>109</v>
      </c>
      <c r="Q34" s="23"/>
      <c r="R34" s="34"/>
      <c r="S34" s="23"/>
      <c r="T34" s="23"/>
      <c r="U34" s="23"/>
      <c r="W34" s="51"/>
      <c r="X34" s="24"/>
      <c r="Y34" s="24"/>
      <c r="Z34" s="24"/>
      <c r="AA34" s="24"/>
      <c r="AB34" s="24"/>
      <c r="AC34" s="56"/>
      <c r="AD34" s="24"/>
      <c r="AE34" s="51"/>
      <c r="AF34" s="24"/>
      <c r="AG34" s="24"/>
      <c r="AH34" s="24"/>
      <c r="AI34" s="24"/>
      <c r="AJ34" s="24"/>
      <c r="AK34" s="56"/>
      <c r="AM34" s="51"/>
      <c r="AN34" s="24"/>
      <c r="AO34" s="24"/>
      <c r="AP34" s="24"/>
      <c r="AQ34" s="24"/>
      <c r="AR34" s="24"/>
      <c r="AS34" s="56"/>
      <c r="AU34" s="51"/>
      <c r="AV34" s="24"/>
      <c r="AW34" s="24"/>
      <c r="AX34" s="24"/>
      <c r="AY34" s="24"/>
      <c r="AZ34" s="24"/>
      <c r="BA34" s="56"/>
      <c r="BC34" s="51"/>
      <c r="BD34" s="24"/>
      <c r="BE34" s="24"/>
      <c r="BF34" s="24"/>
      <c r="BG34" s="24"/>
      <c r="BH34" s="24"/>
      <c r="BI34" s="56"/>
      <c r="BK34" s="51"/>
      <c r="BL34" s="24"/>
      <c r="BM34" s="24"/>
      <c r="BN34" s="24"/>
      <c r="BO34" s="24"/>
      <c r="BP34" s="24"/>
      <c r="BQ34" s="56"/>
      <c r="BS34" s="51"/>
      <c r="BT34" s="24"/>
      <c r="BU34" s="24"/>
      <c r="BV34" s="24"/>
      <c r="BW34" s="24"/>
      <c r="BX34" s="24"/>
      <c r="BY34" s="56"/>
      <c r="CA34" s="51"/>
      <c r="CB34" s="24"/>
      <c r="CC34" s="24"/>
      <c r="CD34" s="24"/>
      <c r="CE34" s="24"/>
      <c r="CF34" s="24"/>
      <c r="CG34" s="56"/>
      <c r="CI34" s="51"/>
      <c r="CJ34" s="24"/>
      <c r="CK34" s="24"/>
      <c r="CL34" s="24"/>
      <c r="CM34" s="24"/>
      <c r="CN34" s="24"/>
      <c r="CO34" s="56"/>
      <c r="CQ34" s="51"/>
      <c r="CR34" s="24"/>
      <c r="CS34" s="24"/>
      <c r="CT34" s="24"/>
      <c r="CU34" s="24"/>
      <c r="CV34" s="24"/>
      <c r="CW34" s="56"/>
      <c r="CY34" s="51"/>
      <c r="CZ34" s="24"/>
      <c r="DA34" s="24"/>
      <c r="DB34" s="24"/>
      <c r="DC34" s="24"/>
      <c r="DD34" s="24"/>
      <c r="DE34" s="56"/>
      <c r="DG34" s="51"/>
      <c r="DH34" s="24"/>
      <c r="DI34" s="24"/>
      <c r="DJ34" s="24"/>
      <c r="DK34" s="24"/>
      <c r="DL34" s="24"/>
      <c r="DM34" s="56"/>
      <c r="DO34" s="51"/>
      <c r="DP34" s="24"/>
      <c r="DQ34" s="24"/>
      <c r="DR34" s="24"/>
      <c r="DS34" s="24"/>
      <c r="DT34" s="24"/>
      <c r="DU34" s="56"/>
      <c r="DW34" s="51"/>
      <c r="DX34" s="24"/>
      <c r="DY34" s="24"/>
      <c r="DZ34" s="24"/>
      <c r="EA34" s="24"/>
      <c r="EB34" s="24"/>
      <c r="EC34" s="56"/>
      <c r="EE34" s="51"/>
      <c r="EF34" s="24"/>
      <c r="EG34" s="24"/>
      <c r="EH34" s="24"/>
      <c r="EI34" s="24"/>
      <c r="EJ34" s="24"/>
      <c r="EK34" s="56"/>
      <c r="EM34" s="51"/>
      <c r="EN34" s="24"/>
      <c r="EO34" s="24"/>
      <c r="EP34" s="24"/>
      <c r="EQ34" s="24"/>
      <c r="ER34" s="24"/>
      <c r="ES34" s="56"/>
      <c r="EU34" s="51"/>
      <c r="EV34" s="24"/>
      <c r="EW34" s="24"/>
      <c r="EX34" s="24"/>
      <c r="EY34" s="24"/>
      <c r="EZ34" s="24"/>
      <c r="FA34" s="56"/>
      <c r="FC34" s="51"/>
      <c r="FD34" s="24"/>
      <c r="FE34" s="24"/>
      <c r="FF34" s="24"/>
      <c r="FG34" s="24"/>
      <c r="FH34" s="24"/>
      <c r="FI34" s="56"/>
      <c r="FJ34" s="24"/>
      <c r="FK34" s="51"/>
      <c r="FL34" s="24"/>
      <c r="FM34" s="24"/>
      <c r="FN34" s="24"/>
      <c r="FO34" s="24"/>
      <c r="FP34" s="24"/>
      <c r="FQ34" s="56"/>
      <c r="FR34" s="24"/>
      <c r="FS34" s="51"/>
      <c r="FT34" s="24"/>
      <c r="FU34" s="24"/>
      <c r="FV34" s="24"/>
      <c r="FW34" s="24"/>
      <c r="FX34" s="24"/>
      <c r="FY34" s="56"/>
      <c r="FZ34" s="24"/>
      <c r="GA34" s="51"/>
      <c r="GB34" s="24"/>
      <c r="GC34" s="24"/>
      <c r="GD34" s="24"/>
      <c r="GE34" s="24"/>
      <c r="GF34" s="24"/>
      <c r="GG34" s="56"/>
      <c r="GH34" s="24"/>
      <c r="GI34" s="51"/>
      <c r="GJ34" s="24"/>
      <c r="GK34" s="24"/>
      <c r="GL34" s="24"/>
      <c r="GM34" s="24"/>
      <c r="GN34" s="24"/>
      <c r="GO34" s="56"/>
      <c r="GP34" s="24"/>
      <c r="GQ34" s="73"/>
      <c r="GR34" s="24"/>
      <c r="GS34" s="24"/>
      <c r="GT34" s="24"/>
      <c r="GU34" s="24"/>
      <c r="GV34" s="24"/>
      <c r="GW34" s="31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</row>
    <row r="35" spans="1:225" ht="14.25">
      <c r="A35" s="135"/>
      <c r="B35" s="135"/>
      <c r="C35" s="136" t="s">
        <v>113</v>
      </c>
      <c r="D35" s="115"/>
      <c r="E35" s="134" t="s">
        <v>114</v>
      </c>
      <c r="F35" s="135"/>
      <c r="G35" s="135"/>
      <c r="H35" s="135"/>
      <c r="I35" s="135"/>
      <c r="K35" s="32" t="s">
        <v>110</v>
      </c>
      <c r="L35" s="34">
        <v>1</v>
      </c>
      <c r="M35" s="34">
        <v>0.85</v>
      </c>
      <c r="N35" s="34">
        <v>0.7</v>
      </c>
      <c r="O35" s="34">
        <f>IF($C$18=L35,1,IF($C$18=2,M35,N35))</f>
        <v>0.7</v>
      </c>
      <c r="P35" s="35" t="e">
        <f>O35-(O35-O36)*M5/L8</f>
        <v>#DIV/0!</v>
      </c>
      <c r="Q35" s="23"/>
      <c r="R35" s="34"/>
      <c r="S35" s="49"/>
      <c r="T35" s="23"/>
      <c r="U35" s="23"/>
      <c r="W35" s="51" t="s">
        <v>53</v>
      </c>
      <c r="X35" s="24"/>
      <c r="Y35" s="24"/>
      <c r="Z35" s="24"/>
      <c r="AA35" s="24"/>
      <c r="AB35" s="24"/>
      <c r="AC35" s="56"/>
      <c r="AD35" s="24"/>
      <c r="AE35" s="51" t="s">
        <v>53</v>
      </c>
      <c r="AF35" s="24"/>
      <c r="AG35" s="24"/>
      <c r="AH35" s="24"/>
      <c r="AI35" s="24"/>
      <c r="AJ35" s="24"/>
      <c r="AK35" s="56"/>
      <c r="AM35" s="51" t="s">
        <v>53</v>
      </c>
      <c r="AN35" s="24"/>
      <c r="AO35" s="24"/>
      <c r="AP35" s="24"/>
      <c r="AQ35" s="24"/>
      <c r="AR35" s="24"/>
      <c r="AS35" s="56"/>
      <c r="AU35" s="51" t="s">
        <v>53</v>
      </c>
      <c r="AV35" s="24"/>
      <c r="AW35" s="24"/>
      <c r="AX35" s="24"/>
      <c r="AY35" s="24"/>
      <c r="AZ35" s="24"/>
      <c r="BA35" s="56"/>
      <c r="BC35" s="51" t="s">
        <v>53</v>
      </c>
      <c r="BD35" s="24"/>
      <c r="BE35" s="24"/>
      <c r="BF35" s="24"/>
      <c r="BG35" s="24"/>
      <c r="BH35" s="24"/>
      <c r="BI35" s="56"/>
      <c r="BK35" s="51" t="s">
        <v>53</v>
      </c>
      <c r="BL35" s="24"/>
      <c r="BM35" s="24"/>
      <c r="BN35" s="24"/>
      <c r="BO35" s="24"/>
      <c r="BP35" s="24"/>
      <c r="BQ35" s="56"/>
      <c r="BS35" s="51" t="s">
        <v>53</v>
      </c>
      <c r="BT35" s="24"/>
      <c r="BU35" s="24"/>
      <c r="BV35" s="24"/>
      <c r="BW35" s="24"/>
      <c r="BX35" s="24"/>
      <c r="BY35" s="56"/>
      <c r="CA35" s="51" t="s">
        <v>53</v>
      </c>
      <c r="CB35" s="24"/>
      <c r="CC35" s="24"/>
      <c r="CD35" s="24"/>
      <c r="CE35" s="24"/>
      <c r="CF35" s="24"/>
      <c r="CG35" s="56"/>
      <c r="CI35" s="51" t="s">
        <v>53</v>
      </c>
      <c r="CJ35" s="24"/>
      <c r="CK35" s="24"/>
      <c r="CL35" s="24"/>
      <c r="CM35" s="24"/>
      <c r="CN35" s="24"/>
      <c r="CO35" s="56"/>
      <c r="CQ35" s="51" t="s">
        <v>53</v>
      </c>
      <c r="CR35" s="24"/>
      <c r="CS35" s="24"/>
      <c r="CT35" s="24"/>
      <c r="CU35" s="24"/>
      <c r="CV35" s="24"/>
      <c r="CW35" s="56"/>
      <c r="CY35" s="51" t="s">
        <v>53</v>
      </c>
      <c r="CZ35" s="24"/>
      <c r="DA35" s="24"/>
      <c r="DB35" s="24"/>
      <c r="DC35" s="24"/>
      <c r="DD35" s="24"/>
      <c r="DE35" s="56"/>
      <c r="DG35" s="51" t="s">
        <v>53</v>
      </c>
      <c r="DH35" s="24"/>
      <c r="DI35" s="24"/>
      <c r="DJ35" s="24"/>
      <c r="DK35" s="24"/>
      <c r="DL35" s="24"/>
      <c r="DM35" s="56"/>
      <c r="DO35" s="51" t="s">
        <v>53</v>
      </c>
      <c r="DP35" s="24"/>
      <c r="DQ35" s="24"/>
      <c r="DR35" s="24"/>
      <c r="DS35" s="24"/>
      <c r="DT35" s="24"/>
      <c r="DU35" s="56"/>
      <c r="DW35" s="51" t="s">
        <v>53</v>
      </c>
      <c r="DX35" s="24"/>
      <c r="DY35" s="24"/>
      <c r="DZ35" s="24"/>
      <c r="EA35" s="24"/>
      <c r="EB35" s="24"/>
      <c r="EC35" s="56"/>
      <c r="EE35" s="51" t="s">
        <v>53</v>
      </c>
      <c r="EF35" s="24"/>
      <c r="EG35" s="24"/>
      <c r="EH35" s="24"/>
      <c r="EI35" s="24"/>
      <c r="EJ35" s="24"/>
      <c r="EK35" s="56"/>
      <c r="EM35" s="51" t="s">
        <v>53</v>
      </c>
      <c r="EN35" s="24"/>
      <c r="EO35" s="24"/>
      <c r="EP35" s="24"/>
      <c r="EQ35" s="24"/>
      <c r="ER35" s="24"/>
      <c r="ES35" s="56"/>
      <c r="EU35" s="51" t="s">
        <v>53</v>
      </c>
      <c r="EV35" s="24"/>
      <c r="EW35" s="24"/>
      <c r="EX35" s="24"/>
      <c r="EY35" s="24"/>
      <c r="EZ35" s="24"/>
      <c r="FA35" s="56"/>
      <c r="FC35" s="51" t="s">
        <v>53</v>
      </c>
      <c r="FD35" s="24"/>
      <c r="FE35" s="24"/>
      <c r="FF35" s="24"/>
      <c r="FG35" s="24"/>
      <c r="FH35" s="24"/>
      <c r="FI35" s="56"/>
      <c r="FJ35" s="24"/>
      <c r="FK35" s="51" t="s">
        <v>53</v>
      </c>
      <c r="FL35" s="24"/>
      <c r="FM35" s="24"/>
      <c r="FN35" s="24"/>
      <c r="FO35" s="24"/>
      <c r="FP35" s="24"/>
      <c r="FQ35" s="56"/>
      <c r="FR35" s="24"/>
      <c r="FS35" s="51" t="s">
        <v>53</v>
      </c>
      <c r="FT35" s="24"/>
      <c r="FU35" s="24"/>
      <c r="FV35" s="24"/>
      <c r="FW35" s="24"/>
      <c r="FX35" s="24"/>
      <c r="FY35" s="56"/>
      <c r="FZ35" s="24"/>
      <c r="GA35" s="51" t="s">
        <v>53</v>
      </c>
      <c r="GB35" s="24"/>
      <c r="GC35" s="24"/>
      <c r="GD35" s="24"/>
      <c r="GE35" s="24"/>
      <c r="GF35" s="24"/>
      <c r="GG35" s="56"/>
      <c r="GH35" s="24"/>
      <c r="GI35" s="51" t="s">
        <v>53</v>
      </c>
      <c r="GJ35" s="24"/>
      <c r="GK35" s="24"/>
      <c r="GL35" s="24"/>
      <c r="GM35" s="24"/>
      <c r="GN35" s="24"/>
      <c r="GO35" s="56"/>
      <c r="GP35" s="24"/>
      <c r="GQ35" s="73"/>
      <c r="GR35" s="24"/>
      <c r="GS35" s="24"/>
      <c r="GT35" s="24"/>
      <c r="GU35" s="24"/>
      <c r="GV35" s="24"/>
      <c r="GW35" s="31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</row>
    <row r="36" spans="1:225" ht="14.25">
      <c r="A36" s="135"/>
      <c r="B36" s="135"/>
      <c r="C36" s="136" t="s">
        <v>263</v>
      </c>
      <c r="D36" s="117"/>
      <c r="E36" s="134" t="s">
        <v>114</v>
      </c>
      <c r="F36" s="135"/>
      <c r="G36" s="135"/>
      <c r="H36" s="135"/>
      <c r="I36" s="135"/>
      <c r="K36" s="36" t="s">
        <v>29</v>
      </c>
      <c r="L36" s="38">
        <v>0.9</v>
      </c>
      <c r="M36" s="38">
        <v>0.75</v>
      </c>
      <c r="N36" s="38">
        <v>0.6</v>
      </c>
      <c r="O36" s="38">
        <f>IF($C$18=1,L36,IF($C$18=2,M36,N36))</f>
        <v>0.6</v>
      </c>
      <c r="P36" s="39"/>
      <c r="Q36" s="23"/>
      <c r="R36" s="34"/>
      <c r="S36" s="34"/>
      <c r="T36" s="23"/>
      <c r="U36" s="23"/>
      <c r="W36" s="51">
        <v>1</v>
      </c>
      <c r="X36" s="24">
        <f>$D$23</f>
        <v>0</v>
      </c>
      <c r="Y36" s="52">
        <f>X36/43560</f>
        <v>0</v>
      </c>
      <c r="Z36" s="24">
        <f>IF($D$24&lt;60,60,$D$24)</f>
        <v>60</v>
      </c>
      <c r="AA36" s="31">
        <f>(1000/Z36)-10</f>
        <v>6.666666666666668</v>
      </c>
      <c r="AB36" s="58">
        <f>IF(Y31-(0.2*AA36)&gt;0,(Y31-0.2*AA36)^2/(Y31+0.8*AA36),0)</f>
        <v>0</v>
      </c>
      <c r="AC36" s="54">
        <f>IF(Y31&gt;0,AB36*Y36,0)</f>
        <v>0</v>
      </c>
      <c r="AD36" s="24"/>
      <c r="AE36" s="51">
        <v>1</v>
      </c>
      <c r="AF36" s="24">
        <f>$D$23</f>
        <v>0</v>
      </c>
      <c r="AG36" s="52">
        <f>AF36/43560</f>
        <v>0</v>
      </c>
      <c r="AH36" s="24">
        <f>IF($D$24&lt;60,60,$D$24)</f>
        <v>60</v>
      </c>
      <c r="AI36" s="31">
        <f>(1000/AH36)-10</f>
        <v>6.666666666666668</v>
      </c>
      <c r="AJ36" s="58">
        <f>IF(AG31-(0.2*AI36)&gt;0,(AG31-0.2*AI36)^2/(AG31+0.8*AI36),0)</f>
        <v>0</v>
      </c>
      <c r="AK36" s="54">
        <f>IF(AG31&gt;0,AJ36*AG36,0)</f>
        <v>0</v>
      </c>
      <c r="AM36" s="51">
        <v>1</v>
      </c>
      <c r="AN36" s="24">
        <f>$D$23</f>
        <v>0</v>
      </c>
      <c r="AO36" s="52">
        <f>AN36/43560</f>
        <v>0</v>
      </c>
      <c r="AP36" s="24">
        <f>IF($D$24&lt;60,60,$D$24)</f>
        <v>60</v>
      </c>
      <c r="AQ36" s="31">
        <f>(1000/AP36)-10</f>
        <v>6.666666666666668</v>
      </c>
      <c r="AR36" s="58">
        <f>IF(AO31-(0.2*AQ36)&gt;0,(AO31-0.2*AQ36)^2/(AO31+0.8*AQ36),0)</f>
        <v>0</v>
      </c>
      <c r="AS36" s="54">
        <f>IF(AO31&gt;0,AR36*AO36,0)</f>
        <v>0</v>
      </c>
      <c r="AU36" s="51">
        <v>1</v>
      </c>
      <c r="AV36" s="24">
        <f>$D$23</f>
        <v>0</v>
      </c>
      <c r="AW36" s="52">
        <f>AV36/43560</f>
        <v>0</v>
      </c>
      <c r="AX36" s="24">
        <f>IF($D$24&lt;60,60,$D$24)</f>
        <v>60</v>
      </c>
      <c r="AY36" s="31">
        <f>(1000/AX36)-10</f>
        <v>6.666666666666668</v>
      </c>
      <c r="AZ36" s="58">
        <f>IF(AW31-(0.2*AY36)&gt;0,(AW31-0.2*AY36)^2/(AW31+0.8*AY36),0)</f>
        <v>0</v>
      </c>
      <c r="BA36" s="54">
        <f>IF(AW31&gt;0,AZ36*AW36,0)</f>
        <v>0</v>
      </c>
      <c r="BC36" s="51">
        <v>1</v>
      </c>
      <c r="BD36" s="24">
        <f>$D$23</f>
        <v>0</v>
      </c>
      <c r="BE36" s="52">
        <f>BD36/43560</f>
        <v>0</v>
      </c>
      <c r="BF36" s="24">
        <f>IF($D$24&lt;60,60,$D$24)</f>
        <v>60</v>
      </c>
      <c r="BG36" s="31">
        <f>(1000/BF36)-10</f>
        <v>6.666666666666668</v>
      </c>
      <c r="BH36" s="58">
        <f>IF(BE31-(0.2*BG36)&gt;0,(BE31-0.2*BG36)^2/(BE31+0.8*BG36),0)</f>
        <v>0</v>
      </c>
      <c r="BI36" s="54">
        <f>IF(BE31&gt;0,BH36*BE36,0)</f>
        <v>0</v>
      </c>
      <c r="BK36" s="51">
        <v>1</v>
      </c>
      <c r="BL36" s="24">
        <f>$D$23</f>
        <v>0</v>
      </c>
      <c r="BM36" s="52">
        <f>BL36/43560</f>
        <v>0</v>
      </c>
      <c r="BN36" s="24">
        <f>IF($D$24&lt;60,60,$D$24)</f>
        <v>60</v>
      </c>
      <c r="BO36" s="31">
        <f>(1000/BN36)-10</f>
        <v>6.666666666666668</v>
      </c>
      <c r="BP36" s="58">
        <f>IF(BM31-(0.2*BO36)&gt;0,(BM31-0.2*BO36)^2/(BM31+0.8*BO36),0)</f>
        <v>0</v>
      </c>
      <c r="BQ36" s="54">
        <f>IF(BM31&gt;0,BP36*BM36,0)</f>
        <v>0</v>
      </c>
      <c r="BS36" s="51">
        <v>1</v>
      </c>
      <c r="BT36" s="24">
        <f>$D$23</f>
        <v>0</v>
      </c>
      <c r="BU36" s="52">
        <f>BT36/43560</f>
        <v>0</v>
      </c>
      <c r="BV36" s="24">
        <f>IF($D$24&lt;60,60,$D$24)</f>
        <v>60</v>
      </c>
      <c r="BW36" s="31">
        <f>(1000/BV36)-10</f>
        <v>6.666666666666668</v>
      </c>
      <c r="BX36" s="58">
        <f>IF(BU31-(0.2*BW36)&gt;0,(BU31-0.2*BW36)^2/(BU31+0.8*BW36),0)</f>
        <v>0</v>
      </c>
      <c r="BY36" s="54">
        <f>IF(BU31&gt;0,BX36*BU36,0)</f>
        <v>0</v>
      </c>
      <c r="CA36" s="51">
        <v>1</v>
      </c>
      <c r="CB36" s="24">
        <f>$D$23</f>
        <v>0</v>
      </c>
      <c r="CC36" s="52">
        <f>CB36/43560</f>
        <v>0</v>
      </c>
      <c r="CD36" s="24">
        <f>IF($D$24&lt;60,60,$D$24)</f>
        <v>60</v>
      </c>
      <c r="CE36" s="31">
        <f>(1000/CD36)-10</f>
        <v>6.666666666666668</v>
      </c>
      <c r="CF36" s="58">
        <f>IF(CC31-(0.2*CE36)&gt;0,(CC31-0.2*CE36)^2/(CC31+0.8*CE36),0)</f>
        <v>0.041429451632778724</v>
      </c>
      <c r="CG36" s="54">
        <f>IF(CC31&gt;0,CF36*CC36,0)</f>
        <v>0</v>
      </c>
      <c r="CI36" s="51">
        <v>1</v>
      </c>
      <c r="CJ36" s="24">
        <f>$D$23</f>
        <v>0</v>
      </c>
      <c r="CK36" s="52">
        <f>CJ36/43560</f>
        <v>0</v>
      </c>
      <c r="CL36" s="24">
        <f>IF($D$24&lt;60,60,$D$24)</f>
        <v>60</v>
      </c>
      <c r="CM36" s="31">
        <f>(1000/CL36)-10</f>
        <v>6.666666666666668</v>
      </c>
      <c r="CN36" s="58">
        <f>IF(CK31-(0.2*CM36)&gt;0,(CK31-0.2*CM36)^2/(CK31+0.8*CM36),0)</f>
        <v>0</v>
      </c>
      <c r="CO36" s="54">
        <f>IF(CK31&gt;0,CN36*CK36,0)</f>
        <v>0</v>
      </c>
      <c r="CQ36" s="51">
        <v>1</v>
      </c>
      <c r="CR36" s="24">
        <f>$D$23</f>
        <v>0</v>
      </c>
      <c r="CS36" s="52">
        <f>CR36/43560</f>
        <v>0</v>
      </c>
      <c r="CT36" s="24">
        <f>IF($D$24&lt;60,60,$D$24)</f>
        <v>60</v>
      </c>
      <c r="CU36" s="31">
        <f>(1000/CT36)-10</f>
        <v>6.666666666666668</v>
      </c>
      <c r="CV36" s="58">
        <f>IF(CS31-(0.2*CU36)&gt;0,(CS31-0.2*CU36)^2/(CS31+0.8*CU36),0)</f>
        <v>0</v>
      </c>
      <c r="CW36" s="54">
        <f>IF(CS31&gt;0,CV36*CS36,0)</f>
        <v>0</v>
      </c>
      <c r="CY36" s="51">
        <v>1</v>
      </c>
      <c r="CZ36" s="24">
        <f>$D$23</f>
        <v>0</v>
      </c>
      <c r="DA36" s="52">
        <f>CZ36/43560</f>
        <v>0</v>
      </c>
      <c r="DB36" s="24">
        <f>IF($D$24&lt;60,60,$D$24)</f>
        <v>60</v>
      </c>
      <c r="DC36" s="31">
        <f>(1000/DB36)-10</f>
        <v>6.666666666666668</v>
      </c>
      <c r="DD36" s="58">
        <f>IF(DA31-(0.2*DC36)&gt;0,(DA31-0.2*DC36)^2/(DA31+0.8*DC36),0)</f>
        <v>0</v>
      </c>
      <c r="DE36" s="54">
        <f>IF(DA31&gt;0,DD36*DA36,0)</f>
        <v>0</v>
      </c>
      <c r="DG36" s="51">
        <v>1</v>
      </c>
      <c r="DH36" s="24">
        <f>$D$23</f>
        <v>0</v>
      </c>
      <c r="DI36" s="52">
        <f>DH36/43560</f>
        <v>0</v>
      </c>
      <c r="DJ36" s="24">
        <f>IF($D$24&lt;60,60,$D$24)</f>
        <v>60</v>
      </c>
      <c r="DK36" s="31">
        <f>(1000/DJ36)-10</f>
        <v>6.666666666666668</v>
      </c>
      <c r="DL36" s="58">
        <f>IF(DI31-(0.2*DK36)&gt;0,(DI31-0.2*DK36)^2/(DI31+0.8*DK36),0)</f>
        <v>0</v>
      </c>
      <c r="DM36" s="54">
        <f>IF(DI31&gt;0,DL36*DI36,0)</f>
        <v>0</v>
      </c>
      <c r="DO36" s="51">
        <v>1</v>
      </c>
      <c r="DP36" s="24">
        <f>$D$23</f>
        <v>0</v>
      </c>
      <c r="DQ36" s="52">
        <f>DP36/43560</f>
        <v>0</v>
      </c>
      <c r="DR36" s="24">
        <f>IF($D$24&lt;60,60,$D$24)</f>
        <v>60</v>
      </c>
      <c r="DS36" s="31">
        <f>(1000/DR36)-10</f>
        <v>6.666666666666668</v>
      </c>
      <c r="DT36" s="58">
        <f>IF(DQ31-(0.2*DS36)&gt;0,(DQ31-0.2*DS36)^2/(DQ31+0.8*DS36),0)</f>
        <v>0</v>
      </c>
      <c r="DU36" s="54">
        <f>IF(DQ31&gt;0,DT36*DQ36,0)</f>
        <v>0</v>
      </c>
      <c r="DW36" s="51">
        <v>1</v>
      </c>
      <c r="DX36" s="24">
        <f>$D$23</f>
        <v>0</v>
      </c>
      <c r="DY36" s="52">
        <f>DX36/43560</f>
        <v>0</v>
      </c>
      <c r="DZ36" s="24">
        <f>IF($D$24&lt;60,60,$D$24)</f>
        <v>60</v>
      </c>
      <c r="EA36" s="31">
        <f>(1000/DZ36)-10</f>
        <v>6.666666666666668</v>
      </c>
      <c r="EB36" s="58">
        <f>IF(DY31-(0.2*EA36)&gt;0,(DY31-0.2*EA36)^2/(DY31+0.8*EA36),0)</f>
        <v>0</v>
      </c>
      <c r="EC36" s="54">
        <f>IF(DY31&gt;0,EB36*DY36,0)</f>
        <v>0</v>
      </c>
      <c r="EE36" s="51">
        <v>1</v>
      </c>
      <c r="EF36" s="24">
        <f>$D$23</f>
        <v>0</v>
      </c>
      <c r="EG36" s="52">
        <f>EF36/43560</f>
        <v>0</v>
      </c>
      <c r="EH36" s="24">
        <f>IF($D$24&lt;60,60,$D$24)</f>
        <v>60</v>
      </c>
      <c r="EI36" s="31">
        <f>(1000/EH36)-10</f>
        <v>6.666666666666668</v>
      </c>
      <c r="EJ36" s="58">
        <f>IF(EG31-(0.2*EI36)&gt;0,(EG31-0.2*EI36)^2/(EG31+0.8*EI36),0)</f>
        <v>0</v>
      </c>
      <c r="EK36" s="54">
        <f>IF(EG31&gt;0,EJ36*EG36,0)</f>
        <v>0</v>
      </c>
      <c r="EM36" s="51">
        <v>1</v>
      </c>
      <c r="EN36" s="24">
        <f>$D$23</f>
        <v>0</v>
      </c>
      <c r="EO36" s="52">
        <f>EN36/43560</f>
        <v>0</v>
      </c>
      <c r="EP36" s="24">
        <f>IF($D$24&lt;60,60,$D$24)</f>
        <v>60</v>
      </c>
      <c r="EQ36" s="31">
        <f>(1000/EP36)-10</f>
        <v>6.666666666666668</v>
      </c>
      <c r="ER36" s="58">
        <f>IF(EO31-(0.2*EQ36)&gt;0,(EO31-0.2*EQ36)^2/(EO31+0.8*EQ36),0)</f>
        <v>0</v>
      </c>
      <c r="ES36" s="54">
        <f>IF(EO31&gt;0,ER36*EO36,0)</f>
        <v>0</v>
      </c>
      <c r="EU36" s="51">
        <v>1</v>
      </c>
      <c r="EV36" s="24">
        <f>$D$23</f>
        <v>0</v>
      </c>
      <c r="EW36" s="52">
        <f>EV36/43560</f>
        <v>0</v>
      </c>
      <c r="EX36" s="24">
        <f>IF($D$24&lt;60,60,$D$24)</f>
        <v>60</v>
      </c>
      <c r="EY36" s="31">
        <f>(1000/EX36)-10</f>
        <v>6.666666666666668</v>
      </c>
      <c r="EZ36" s="58">
        <f>IF(EW31-(0.2*EY36)&gt;0,(EW31-0.2*EY36)^2/(EW31+0.8*EY36),0)</f>
        <v>0</v>
      </c>
      <c r="FA36" s="54">
        <f>IF(EW31&gt;0,EZ36*EW36,0)</f>
        <v>0</v>
      </c>
      <c r="FC36" s="51">
        <v>1</v>
      </c>
      <c r="FD36" s="24">
        <f>$D$23</f>
        <v>0</v>
      </c>
      <c r="FE36" s="52">
        <f>FD36/43560</f>
        <v>0</v>
      </c>
      <c r="FF36" s="24">
        <f>IF($D$24&lt;60,60,$D$24)</f>
        <v>60</v>
      </c>
      <c r="FG36" s="31">
        <f>(1000/FF36)-10</f>
        <v>6.666666666666668</v>
      </c>
      <c r="FH36" s="58">
        <f>IF(FE31-(0.2*FG36)&gt;0,(FE31-0.2*FG36)^2/(FE31+0.8*FG36),0)</f>
        <v>0</v>
      </c>
      <c r="FI36" s="54">
        <f>IF(FE31&gt;0,FH36*FE36,0)</f>
        <v>0</v>
      </c>
      <c r="FJ36" s="45"/>
      <c r="FK36" s="51">
        <v>1</v>
      </c>
      <c r="FL36" s="24">
        <f>$D$23</f>
        <v>0</v>
      </c>
      <c r="FM36" s="52">
        <f>FL36/43560</f>
        <v>0</v>
      </c>
      <c r="FN36" s="24">
        <f>IF($D$24&lt;60,60,$D$24)</f>
        <v>60</v>
      </c>
      <c r="FO36" s="31">
        <f>(1000/FN36)-10</f>
        <v>6.666666666666668</v>
      </c>
      <c r="FP36" s="58">
        <f>IF(FM31-(0.2*FO36)&gt;0,(FM31-0.2*FO36)^2/(FM31+0.8*FO36),0)</f>
        <v>0</v>
      </c>
      <c r="FQ36" s="54">
        <f>IF(FM31&gt;0,FP36*FM36,0)</f>
        <v>0</v>
      </c>
      <c r="FR36" s="45"/>
      <c r="FS36" s="51">
        <v>1</v>
      </c>
      <c r="FT36" s="24">
        <f>$D$23</f>
        <v>0</v>
      </c>
      <c r="FU36" s="52">
        <f>FT36/43560</f>
        <v>0</v>
      </c>
      <c r="FV36" s="24">
        <f>IF($D$24&lt;60,60,$D$24)</f>
        <v>60</v>
      </c>
      <c r="FW36" s="31">
        <f>(1000/FV36)-10</f>
        <v>6.666666666666668</v>
      </c>
      <c r="FX36" s="58">
        <f>IF(FU31-(0.2*FW36)&gt;0,(FU31-0.2*FW36)^2/(FU31+0.8*FW36),0)</f>
        <v>0</v>
      </c>
      <c r="FY36" s="54">
        <f>IF(FU31&gt;0,FX36*FU36,0)</f>
        <v>0</v>
      </c>
      <c r="FZ36" s="45"/>
      <c r="GA36" s="51">
        <v>1</v>
      </c>
      <c r="GB36" s="24">
        <f>$D$23</f>
        <v>0</v>
      </c>
      <c r="GC36" s="52">
        <f>GB36/43560</f>
        <v>0</v>
      </c>
      <c r="GD36" s="24">
        <f>IF($D$24&lt;60,60,$D$24)</f>
        <v>60</v>
      </c>
      <c r="GE36" s="31">
        <f>(1000/GD36)-10</f>
        <v>6.666666666666668</v>
      </c>
      <c r="GF36" s="58">
        <f>IF(GC31-(0.2*GE36)&gt;0,(GC31-0.2*GE36)^2/(GC31+0.8*GE36),0)</f>
        <v>0</v>
      </c>
      <c r="GG36" s="54">
        <f>IF(GC31&gt;0,GF36*GC36,0)</f>
        <v>0</v>
      </c>
      <c r="GH36" s="45"/>
      <c r="GI36" s="51">
        <v>1</v>
      </c>
      <c r="GJ36" s="24">
        <f>$D$23</f>
        <v>0</v>
      </c>
      <c r="GK36" s="52">
        <f>GJ36/43560</f>
        <v>0</v>
      </c>
      <c r="GL36" s="24">
        <f>IF($D$24&lt;60,60,$D$24)</f>
        <v>60</v>
      </c>
      <c r="GM36" s="31">
        <f>(1000/GL36)-10</f>
        <v>6.666666666666668</v>
      </c>
      <c r="GN36" s="58">
        <f>IF(GK31-(0.2*GM36)&gt;0,(GK31-0.2*GM36)^2/(GK31+0.8*GM36),0)</f>
        <v>0</v>
      </c>
      <c r="GO36" s="54">
        <f>IF(GK31&gt;0,GN36*GK36,0)</f>
        <v>0</v>
      </c>
      <c r="GP36" s="45"/>
      <c r="GQ36" s="93"/>
      <c r="GR36" s="45"/>
      <c r="GS36" s="94"/>
      <c r="GT36" s="45"/>
      <c r="GU36" s="95"/>
      <c r="GV36" s="95"/>
      <c r="GW36" s="95"/>
      <c r="GX36" s="45"/>
      <c r="GY36" s="45"/>
      <c r="GZ36" s="45"/>
      <c r="HA36" s="45"/>
      <c r="HB36" s="45"/>
      <c r="HC36" s="45"/>
      <c r="HD36" s="45"/>
      <c r="HE36" s="45"/>
      <c r="HF36" s="45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</row>
    <row r="37" spans="1:225" ht="14.25">
      <c r="A37" s="135"/>
      <c r="B37" s="135"/>
      <c r="C37" s="136" t="s">
        <v>280</v>
      </c>
      <c r="D37" s="135"/>
      <c r="E37" s="137">
        <f>D36*D35</f>
        <v>0</v>
      </c>
      <c r="F37" s="134" t="s">
        <v>4</v>
      </c>
      <c r="G37" s="172" t="str">
        <f>IF(E37&lt;E83,"NO GOOD, too small","GOOD, meets lot minimum")</f>
        <v>GOOD, meets lot minimum</v>
      </c>
      <c r="H37" s="135"/>
      <c r="I37" s="13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W37" s="51">
        <v>2</v>
      </c>
      <c r="X37" s="24">
        <f>$F$23</f>
        <v>0</v>
      </c>
      <c r="Y37" s="52">
        <f>X37/43560</f>
        <v>0</v>
      </c>
      <c r="Z37" s="24">
        <f>IF($F$24&lt;60,60,$F$24)</f>
        <v>60</v>
      </c>
      <c r="AA37" s="31">
        <f>(1000/Z37)-10</f>
        <v>6.666666666666668</v>
      </c>
      <c r="AB37" s="58">
        <f>IF(Y31-(0.2*AA37)&gt;0,(Y31-0.2*AA37)^2/(Y31+0.8*AA37),0)</f>
        <v>0</v>
      </c>
      <c r="AC37" s="54">
        <f>IF(Y31&gt;0,AB37*Y37,0)</f>
        <v>0</v>
      </c>
      <c r="AD37" s="24"/>
      <c r="AE37" s="51">
        <v>2</v>
      </c>
      <c r="AF37" s="24">
        <f>$F$23</f>
        <v>0</v>
      </c>
      <c r="AG37" s="52">
        <f>AF37/43560</f>
        <v>0</v>
      </c>
      <c r="AH37" s="24">
        <f>IF($F$24&lt;60,60,$F$24)</f>
        <v>60</v>
      </c>
      <c r="AI37" s="31">
        <f>(1000/AH37)-10</f>
        <v>6.666666666666668</v>
      </c>
      <c r="AJ37" s="58">
        <f>IF(AG31-(0.2*AI37)&gt;0,(AG31-0.2*AI37)^2/(AG31+0.8*AI37),0)</f>
        <v>0</v>
      </c>
      <c r="AK37" s="54">
        <f>IF(AG31&gt;0,AJ37*AG37,0)</f>
        <v>0</v>
      </c>
      <c r="AM37" s="51">
        <v>2</v>
      </c>
      <c r="AN37" s="24">
        <f>$F$23</f>
        <v>0</v>
      </c>
      <c r="AO37" s="52">
        <f>AN37/43560</f>
        <v>0</v>
      </c>
      <c r="AP37" s="24">
        <f>IF($F$24&lt;60,60,$F$24)</f>
        <v>60</v>
      </c>
      <c r="AQ37" s="31">
        <f>(1000/AP37)-10</f>
        <v>6.666666666666668</v>
      </c>
      <c r="AR37" s="58">
        <f>IF(AO31-(0.2*AQ37)&gt;0,(AO31-0.2*AQ37)^2/(AO31+0.8*AQ37),0)</f>
        <v>0</v>
      </c>
      <c r="AS37" s="54">
        <f>IF(AO31&gt;0,AR37*AO37,0)</f>
        <v>0</v>
      </c>
      <c r="AU37" s="51">
        <v>2</v>
      </c>
      <c r="AV37" s="24">
        <f>$F$23</f>
        <v>0</v>
      </c>
      <c r="AW37" s="52">
        <f>AV37/43560</f>
        <v>0</v>
      </c>
      <c r="AX37" s="24">
        <f>IF($F$24&lt;60,60,$F$24)</f>
        <v>60</v>
      </c>
      <c r="AY37" s="31">
        <f>(1000/AX37)-10</f>
        <v>6.666666666666668</v>
      </c>
      <c r="AZ37" s="58">
        <f>IF(AW31-(0.2*AY37)&gt;0,(AW31-0.2*AY37)^2/(AW31+0.8*AY37),0)</f>
        <v>0</v>
      </c>
      <c r="BA37" s="54">
        <f>IF(AW31&gt;0,AZ37*AW37,0)</f>
        <v>0</v>
      </c>
      <c r="BC37" s="51">
        <v>2</v>
      </c>
      <c r="BD37" s="24">
        <f>$F$23</f>
        <v>0</v>
      </c>
      <c r="BE37" s="52">
        <f>BD37/43560</f>
        <v>0</v>
      </c>
      <c r="BF37" s="24">
        <f>IF($F$24&lt;60,60,$F$24)</f>
        <v>60</v>
      </c>
      <c r="BG37" s="31">
        <f>(1000/BF37)-10</f>
        <v>6.666666666666668</v>
      </c>
      <c r="BH37" s="58">
        <f>IF(BE31-(0.2*BG37)&gt;0,(BE31-0.2*BG37)^2/(BE31+0.8*BG37),0)</f>
        <v>0</v>
      </c>
      <c r="BI37" s="54">
        <f>IF(BE31&gt;0,BH37*BE37,0)</f>
        <v>0</v>
      </c>
      <c r="BK37" s="51">
        <v>2</v>
      </c>
      <c r="BL37" s="24">
        <f>$F$23</f>
        <v>0</v>
      </c>
      <c r="BM37" s="52">
        <f>BL37/43560</f>
        <v>0</v>
      </c>
      <c r="BN37" s="24">
        <f>IF($F$24&lt;60,60,$F$24)</f>
        <v>60</v>
      </c>
      <c r="BO37" s="31">
        <f>(1000/BN37)-10</f>
        <v>6.666666666666668</v>
      </c>
      <c r="BP37" s="58">
        <f>IF(BM31-(0.2*BO37)&gt;0,(BM31-0.2*BO37)^2/(BM31+0.8*BO37),0)</f>
        <v>0</v>
      </c>
      <c r="BQ37" s="54">
        <f>IF(BM31&gt;0,BP37*BM37,0)</f>
        <v>0</v>
      </c>
      <c r="BS37" s="51">
        <v>2</v>
      </c>
      <c r="BT37" s="24">
        <f>$F$23</f>
        <v>0</v>
      </c>
      <c r="BU37" s="52">
        <f>BT37/43560</f>
        <v>0</v>
      </c>
      <c r="BV37" s="24">
        <f>IF($F$24&lt;60,60,$F$24)</f>
        <v>60</v>
      </c>
      <c r="BW37" s="31">
        <f>(1000/BV37)-10</f>
        <v>6.666666666666668</v>
      </c>
      <c r="BX37" s="58">
        <f>IF(BU31-(0.2*BW37)&gt;0,(BU31-0.2*BW37)^2/(BU31+0.8*BW37),0)</f>
        <v>0</v>
      </c>
      <c r="BY37" s="54">
        <f>IF(BU31&gt;0,BX37*BU37,0)</f>
        <v>0</v>
      </c>
      <c r="CA37" s="51">
        <v>2</v>
      </c>
      <c r="CB37" s="24">
        <f>$F$23</f>
        <v>0</v>
      </c>
      <c r="CC37" s="52">
        <f>CB37/43560</f>
        <v>0</v>
      </c>
      <c r="CD37" s="24">
        <f>IF($F$24&lt;60,60,$F$24)</f>
        <v>60</v>
      </c>
      <c r="CE37" s="31">
        <f>(1000/CD37)-10</f>
        <v>6.666666666666668</v>
      </c>
      <c r="CF37" s="58">
        <f>IF(CC31-(0.2*CE37)&gt;0,(CC31-0.2*CE37)^2/(CC31+0.8*CE37),0)</f>
        <v>0.041429451632778724</v>
      </c>
      <c r="CG37" s="54">
        <f>IF(CC31&gt;0,CF37*CC37,0)</f>
        <v>0</v>
      </c>
      <c r="CI37" s="51">
        <v>2</v>
      </c>
      <c r="CJ37" s="24">
        <f>$F$23</f>
        <v>0</v>
      </c>
      <c r="CK37" s="52">
        <f>CJ37/43560</f>
        <v>0</v>
      </c>
      <c r="CL37" s="24">
        <f>IF($F$24&lt;60,60,$F$24)</f>
        <v>60</v>
      </c>
      <c r="CM37" s="31">
        <f>(1000/CL37)-10</f>
        <v>6.666666666666668</v>
      </c>
      <c r="CN37" s="58">
        <f>IF(CK31-(0.2*CM37)&gt;0,(CK31-0.2*CM37)^2/(CK31+0.8*CM37),0)</f>
        <v>0</v>
      </c>
      <c r="CO37" s="54">
        <f>IF(CK31&gt;0,CN37*CK37,0)</f>
        <v>0</v>
      </c>
      <c r="CQ37" s="51">
        <v>2</v>
      </c>
      <c r="CR37" s="24">
        <f>$F$23</f>
        <v>0</v>
      </c>
      <c r="CS37" s="52">
        <f>CR37/43560</f>
        <v>0</v>
      </c>
      <c r="CT37" s="24">
        <f>IF($F$24&lt;60,60,$F$24)</f>
        <v>60</v>
      </c>
      <c r="CU37" s="31">
        <f>(1000/CT37)-10</f>
        <v>6.666666666666668</v>
      </c>
      <c r="CV37" s="58">
        <f>IF(CS31-(0.2*CU37)&gt;0,(CS31-0.2*CU37)^2/(CS31+0.8*CU37),0)</f>
        <v>0</v>
      </c>
      <c r="CW37" s="54">
        <f>IF(CS31&gt;0,CV37*CS37,0)</f>
        <v>0</v>
      </c>
      <c r="CY37" s="51">
        <v>2</v>
      </c>
      <c r="CZ37" s="24">
        <f>$F$23</f>
        <v>0</v>
      </c>
      <c r="DA37" s="52">
        <f>CZ37/43560</f>
        <v>0</v>
      </c>
      <c r="DB37" s="24">
        <f>IF($F$24&lt;60,60,$F$24)</f>
        <v>60</v>
      </c>
      <c r="DC37" s="31">
        <f>(1000/DB37)-10</f>
        <v>6.666666666666668</v>
      </c>
      <c r="DD37" s="58">
        <f>IF(DA31-(0.2*DC37)&gt;0,(DA31-0.2*DC37)^2/(DA31+0.8*DC37),0)</f>
        <v>0</v>
      </c>
      <c r="DE37" s="54">
        <f>IF(DA31&gt;0,DD37*DA37,0)</f>
        <v>0</v>
      </c>
      <c r="DG37" s="51">
        <v>2</v>
      </c>
      <c r="DH37" s="24">
        <f>$F$23</f>
        <v>0</v>
      </c>
      <c r="DI37" s="52">
        <f>DH37/43560</f>
        <v>0</v>
      </c>
      <c r="DJ37" s="24">
        <f>IF($F$24&lt;60,60,$F$24)</f>
        <v>60</v>
      </c>
      <c r="DK37" s="31">
        <f>(1000/DJ37)-10</f>
        <v>6.666666666666668</v>
      </c>
      <c r="DL37" s="58">
        <f>IF(DI31-(0.2*DK37)&gt;0,(DI31-0.2*DK37)^2/(DI31+0.8*DK37),0)</f>
        <v>0</v>
      </c>
      <c r="DM37" s="54">
        <f>IF(DI31&gt;0,DL37*DI37,0)</f>
        <v>0</v>
      </c>
      <c r="DO37" s="51">
        <v>2</v>
      </c>
      <c r="DP37" s="24">
        <f>$F$23</f>
        <v>0</v>
      </c>
      <c r="DQ37" s="52">
        <f>DP37/43560</f>
        <v>0</v>
      </c>
      <c r="DR37" s="24">
        <f>IF($F$24&lt;60,60,$F$24)</f>
        <v>60</v>
      </c>
      <c r="DS37" s="31">
        <f>(1000/DR37)-10</f>
        <v>6.666666666666668</v>
      </c>
      <c r="DT37" s="58">
        <f>IF(DQ31-(0.2*DS37)&gt;0,(DQ31-0.2*DS37)^2/(DQ31+0.8*DS37),0)</f>
        <v>0</v>
      </c>
      <c r="DU37" s="54">
        <f>IF(DQ31&gt;0,DT37*DQ37,0)</f>
        <v>0</v>
      </c>
      <c r="DW37" s="51">
        <v>2</v>
      </c>
      <c r="DX37" s="24">
        <f>$F$23</f>
        <v>0</v>
      </c>
      <c r="DY37" s="52">
        <f>DX37/43560</f>
        <v>0</v>
      </c>
      <c r="DZ37" s="24">
        <f>IF($F$24&lt;60,60,$F$24)</f>
        <v>60</v>
      </c>
      <c r="EA37" s="31">
        <f>(1000/DZ37)-10</f>
        <v>6.666666666666668</v>
      </c>
      <c r="EB37" s="58">
        <f>IF(DY31-(0.2*EA37)&gt;0,(DY31-0.2*EA37)^2/(DY31+0.8*EA37),0)</f>
        <v>0</v>
      </c>
      <c r="EC37" s="54">
        <f>IF(DY31&gt;0,EB37*DY37,0)</f>
        <v>0</v>
      </c>
      <c r="EE37" s="51">
        <v>2</v>
      </c>
      <c r="EF37" s="24">
        <f>$F$23</f>
        <v>0</v>
      </c>
      <c r="EG37" s="52">
        <f>EF37/43560</f>
        <v>0</v>
      </c>
      <c r="EH37" s="24">
        <f>IF($F$24&lt;60,60,$F$24)</f>
        <v>60</v>
      </c>
      <c r="EI37" s="31">
        <f>(1000/EH37)-10</f>
        <v>6.666666666666668</v>
      </c>
      <c r="EJ37" s="58">
        <f>IF(EG31-(0.2*EI37)&gt;0,(EG31-0.2*EI37)^2/(EG31+0.8*EI37),0)</f>
        <v>0</v>
      </c>
      <c r="EK37" s="54">
        <f>IF(EG31&gt;0,EJ37*EG37,0)</f>
        <v>0</v>
      </c>
      <c r="EM37" s="51">
        <v>2</v>
      </c>
      <c r="EN37" s="24">
        <f>$F$23</f>
        <v>0</v>
      </c>
      <c r="EO37" s="52">
        <f>EN37/43560</f>
        <v>0</v>
      </c>
      <c r="EP37" s="24">
        <f>IF($F$24&lt;60,60,$F$24)</f>
        <v>60</v>
      </c>
      <c r="EQ37" s="31">
        <f>(1000/EP37)-10</f>
        <v>6.666666666666668</v>
      </c>
      <c r="ER37" s="58">
        <f>IF(EO31-(0.2*EQ37)&gt;0,(EO31-0.2*EQ37)^2/(EO31+0.8*EQ37),0)</f>
        <v>0</v>
      </c>
      <c r="ES37" s="54">
        <f>IF(EO31&gt;0,ER37*EO37,0)</f>
        <v>0</v>
      </c>
      <c r="EU37" s="51">
        <v>2</v>
      </c>
      <c r="EV37" s="24">
        <f>$F$23</f>
        <v>0</v>
      </c>
      <c r="EW37" s="52">
        <f>EV37/43560</f>
        <v>0</v>
      </c>
      <c r="EX37" s="24">
        <f>IF($F$24&lt;60,60,$F$24)</f>
        <v>60</v>
      </c>
      <c r="EY37" s="31">
        <f>(1000/EX37)-10</f>
        <v>6.666666666666668</v>
      </c>
      <c r="EZ37" s="58">
        <f>IF(EW31-(0.2*EY37)&gt;0,(EW31-0.2*EY37)^2/(EW31+0.8*EY37),0)</f>
        <v>0</v>
      </c>
      <c r="FA37" s="54">
        <f>IF(EW31&gt;0,EZ37*EW37,0)</f>
        <v>0</v>
      </c>
      <c r="FC37" s="51">
        <v>2</v>
      </c>
      <c r="FD37" s="24">
        <f>$F$23</f>
        <v>0</v>
      </c>
      <c r="FE37" s="52">
        <f>FD37/43560</f>
        <v>0</v>
      </c>
      <c r="FF37" s="24">
        <f>IF($F$24&lt;60,60,$F$24)</f>
        <v>60</v>
      </c>
      <c r="FG37" s="31">
        <f>(1000/FF37)-10</f>
        <v>6.666666666666668</v>
      </c>
      <c r="FH37" s="58">
        <f>IF(FE31-(0.2*FG37)&gt;0,(FE31-0.2*FG37)^2/(FE31+0.8*FG37),0)</f>
        <v>0</v>
      </c>
      <c r="FI37" s="54">
        <f>IF(FE31&gt;0,FH37*FE37,0)</f>
        <v>0</v>
      </c>
      <c r="FJ37" s="45"/>
      <c r="FK37" s="51">
        <v>2</v>
      </c>
      <c r="FL37" s="24">
        <f>$F$23</f>
        <v>0</v>
      </c>
      <c r="FM37" s="52">
        <f>FL37/43560</f>
        <v>0</v>
      </c>
      <c r="FN37" s="24">
        <f>IF($F$24&lt;60,60,$F$24)</f>
        <v>60</v>
      </c>
      <c r="FO37" s="31">
        <f>(1000/FN37)-10</f>
        <v>6.666666666666668</v>
      </c>
      <c r="FP37" s="58">
        <f>IF(FM31-(0.2*FO37)&gt;0,(FM31-0.2*FO37)^2/(FM31+0.8*FO37),0)</f>
        <v>0</v>
      </c>
      <c r="FQ37" s="54">
        <f>IF(FM31&gt;0,FP37*FM37,0)</f>
        <v>0</v>
      </c>
      <c r="FR37" s="45"/>
      <c r="FS37" s="51">
        <v>2</v>
      </c>
      <c r="FT37" s="24">
        <f>$F$23</f>
        <v>0</v>
      </c>
      <c r="FU37" s="52">
        <f>FT37/43560</f>
        <v>0</v>
      </c>
      <c r="FV37" s="24">
        <f>IF($F$24&lt;60,60,$F$24)</f>
        <v>60</v>
      </c>
      <c r="FW37" s="31">
        <f>(1000/FV37)-10</f>
        <v>6.666666666666668</v>
      </c>
      <c r="FX37" s="58">
        <f>IF(FU31-(0.2*FW37)&gt;0,(FU31-0.2*FW37)^2/(FU31+0.8*FW37),0)</f>
        <v>0</v>
      </c>
      <c r="FY37" s="54">
        <f>IF(FU31&gt;0,FX37*FU37,0)</f>
        <v>0</v>
      </c>
      <c r="FZ37" s="45"/>
      <c r="GA37" s="51">
        <v>2</v>
      </c>
      <c r="GB37" s="24">
        <f>$F$23</f>
        <v>0</v>
      </c>
      <c r="GC37" s="52">
        <f>GB37/43560</f>
        <v>0</v>
      </c>
      <c r="GD37" s="24">
        <f>IF($F$24&lt;60,60,$F$24)</f>
        <v>60</v>
      </c>
      <c r="GE37" s="31">
        <f>(1000/GD37)-10</f>
        <v>6.666666666666668</v>
      </c>
      <c r="GF37" s="58">
        <f>IF(GC31-(0.2*GE37)&gt;0,(GC31-0.2*GE37)^2/(GC31+0.8*GE37),0)</f>
        <v>0</v>
      </c>
      <c r="GG37" s="54">
        <f>IF(GC31&gt;0,GF37*GC37,0)</f>
        <v>0</v>
      </c>
      <c r="GH37" s="45"/>
      <c r="GI37" s="51">
        <v>2</v>
      </c>
      <c r="GJ37" s="24">
        <f>$F$23</f>
        <v>0</v>
      </c>
      <c r="GK37" s="52">
        <f>GJ37/43560</f>
        <v>0</v>
      </c>
      <c r="GL37" s="24">
        <f>IF($F$24&lt;60,60,$F$24)</f>
        <v>60</v>
      </c>
      <c r="GM37" s="31">
        <f>(1000/GL37)-10</f>
        <v>6.666666666666668</v>
      </c>
      <c r="GN37" s="58">
        <f>IF(GK31-(0.2*GM37)&gt;0,(GK31-0.2*GM37)^2/(GK31+0.8*GM37),0)</f>
        <v>0</v>
      </c>
      <c r="GO37" s="54">
        <f>IF(GK31&gt;0,GN37*GK37,0)</f>
        <v>0</v>
      </c>
      <c r="GP37" s="45"/>
      <c r="GQ37" s="93"/>
      <c r="GR37" s="45"/>
      <c r="GS37" s="94"/>
      <c r="GT37" s="45"/>
      <c r="GU37" s="95"/>
      <c r="GV37" s="95"/>
      <c r="GW37" s="95"/>
      <c r="GX37" s="45"/>
      <c r="GY37" s="45"/>
      <c r="GZ37" s="45"/>
      <c r="HA37" s="45"/>
      <c r="HB37" s="45"/>
      <c r="HC37" s="45"/>
      <c r="HD37" s="45"/>
      <c r="HE37" s="45"/>
      <c r="HF37" s="45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</row>
    <row r="38" spans="1:225" ht="14.25">
      <c r="A38" s="135"/>
      <c r="B38" s="135"/>
      <c r="C38" s="135"/>
      <c r="D38" s="135"/>
      <c r="E38" s="135"/>
      <c r="F38" s="135"/>
      <c r="G38" s="171" t="str">
        <f>IF(E37&lt;E83,"Minimum buffer size is:","size")</f>
        <v>size</v>
      </c>
      <c r="H38" s="173" t="str">
        <f>IF(E37&lt;E83,E83," ")</f>
        <v> </v>
      </c>
      <c r="I38" s="135"/>
      <c r="K38" s="23" t="s">
        <v>116</v>
      </c>
      <c r="L38" s="23" t="s">
        <v>117</v>
      </c>
      <c r="M38" s="23"/>
      <c r="N38" s="23"/>
      <c r="O38" s="23"/>
      <c r="P38" s="34" t="s">
        <v>118</v>
      </c>
      <c r="Q38" s="34"/>
      <c r="R38" s="34"/>
      <c r="S38" s="34"/>
      <c r="T38" s="34"/>
      <c r="U38" s="23"/>
      <c r="W38" s="63" t="s">
        <v>58</v>
      </c>
      <c r="X38" s="64">
        <f>$D$26</f>
        <v>0</v>
      </c>
      <c r="Y38" s="65">
        <f>X38/43560</f>
        <v>0</v>
      </c>
      <c r="Z38" s="64">
        <v>98</v>
      </c>
      <c r="AA38" s="66">
        <f>(1000/Z38)-10</f>
        <v>0.204081632653061</v>
      </c>
      <c r="AB38" s="66">
        <f>(Y31-0.2*AA38)^2/(Y31+0.8*AA38)</f>
        <v>0.06975464343040594</v>
      </c>
      <c r="AC38" s="67">
        <f>IF(Y31&gt;0,AB38*Y38,0)</f>
        <v>0</v>
      </c>
      <c r="AD38" s="24"/>
      <c r="AE38" s="63" t="s">
        <v>58</v>
      </c>
      <c r="AF38" s="64">
        <f>$D$26</f>
        <v>0</v>
      </c>
      <c r="AG38" s="65">
        <f>AF38/43560</f>
        <v>0</v>
      </c>
      <c r="AH38" s="64">
        <v>98</v>
      </c>
      <c r="AI38" s="66">
        <f>(1000/AH38)-10</f>
        <v>0.204081632653061</v>
      </c>
      <c r="AJ38" s="66">
        <f>(AG31-0.2*AI38)^2/(AG31+0.8*AI38)</f>
        <v>0.32696370576117706</v>
      </c>
      <c r="AK38" s="67">
        <f>IF(AG31&gt;0,AJ38*AG38,0)</f>
        <v>0</v>
      </c>
      <c r="AM38" s="63" t="s">
        <v>58</v>
      </c>
      <c r="AN38" s="64">
        <f>$D$26</f>
        <v>0</v>
      </c>
      <c r="AO38" s="65">
        <f>AN38/43560</f>
        <v>0</v>
      </c>
      <c r="AP38" s="64">
        <v>98</v>
      </c>
      <c r="AQ38" s="66">
        <f>(1000/AP38)-10</f>
        <v>0.204081632653061</v>
      </c>
      <c r="AR38" s="66">
        <f>(AO31-0.2*AQ38)^2/(AO31+0.8*AQ38)</f>
        <v>0.98565318342906</v>
      </c>
      <c r="AS38" s="67">
        <f>IF(AO31&gt;0,AR38*AO38,0)</f>
        <v>0</v>
      </c>
      <c r="AU38" s="63" t="s">
        <v>58</v>
      </c>
      <c r="AV38" s="64">
        <f>$D$26</f>
        <v>0</v>
      </c>
      <c r="AW38" s="65">
        <f>AV38/43560</f>
        <v>0</v>
      </c>
      <c r="AX38" s="64">
        <v>98</v>
      </c>
      <c r="AY38" s="66">
        <f>(1000/AX38)-10</f>
        <v>0.204081632653061</v>
      </c>
      <c r="AZ38" s="66">
        <f>(AW31-0.2*AY38)^2/(AW31+0.8*AY38)</f>
        <v>0.07668303187868922</v>
      </c>
      <c r="BA38" s="67">
        <f>IF(AW31&gt;0,AZ38*AW38,0)</f>
        <v>0</v>
      </c>
      <c r="BC38" s="63" t="s">
        <v>58</v>
      </c>
      <c r="BD38" s="64">
        <f>$D$26</f>
        <v>0</v>
      </c>
      <c r="BE38" s="65">
        <f>BD38/43560</f>
        <v>0</v>
      </c>
      <c r="BF38" s="64">
        <v>98</v>
      </c>
      <c r="BG38" s="66">
        <f>(1000/BF38)-10</f>
        <v>0.204081632653061</v>
      </c>
      <c r="BH38" s="66">
        <f>(BE31-0.2*BG38)^2/(BE31+0.8*BG38)</f>
        <v>0.771532178740829</v>
      </c>
      <c r="BI38" s="67">
        <f>IF(BE31&gt;0,BH38*BE38,0)</f>
        <v>0</v>
      </c>
      <c r="BK38" s="63" t="s">
        <v>58</v>
      </c>
      <c r="BL38" s="64">
        <f>$D$26</f>
        <v>0</v>
      </c>
      <c r="BM38" s="65">
        <f>BL38/43560</f>
        <v>0</v>
      </c>
      <c r="BN38" s="64">
        <v>98</v>
      </c>
      <c r="BO38" s="66">
        <f>(1000/BN38)-10</f>
        <v>0.204081632653061</v>
      </c>
      <c r="BP38" s="66">
        <f>(BM31-0.2*BO38)^2/(BM31+0.8*BO38)</f>
        <v>0.13698931351018578</v>
      </c>
      <c r="BQ38" s="67">
        <f>IF(BM31&gt;0,BP38*BM38,0)</f>
        <v>0</v>
      </c>
      <c r="BS38" s="63" t="s">
        <v>58</v>
      </c>
      <c r="BT38" s="64">
        <f>$D$26</f>
        <v>0</v>
      </c>
      <c r="BU38" s="65">
        <f>BT38/43560</f>
        <v>0</v>
      </c>
      <c r="BV38" s="64">
        <v>98</v>
      </c>
      <c r="BW38" s="66">
        <f>(1000/BV38)-10</f>
        <v>0.204081632653061</v>
      </c>
      <c r="BX38" s="66">
        <f>(BU31-0.2*BW38)^2/(BU31+0.8*BW38)</f>
        <v>0.44695204911232805</v>
      </c>
      <c r="BY38" s="67">
        <f>IF(BU31&gt;0,BX38*BU38,0)</f>
        <v>0</v>
      </c>
      <c r="CA38" s="63" t="s">
        <v>58</v>
      </c>
      <c r="CB38" s="64">
        <f>$D$26</f>
        <v>0</v>
      </c>
      <c r="CC38" s="65">
        <f>CB38/43560</f>
        <v>0</v>
      </c>
      <c r="CD38" s="64">
        <v>98</v>
      </c>
      <c r="CE38" s="66">
        <f>(1000/CD38)-10</f>
        <v>0.204081632653061</v>
      </c>
      <c r="CF38" s="66">
        <f>(CC31-0.2*CE38)^2/(CC31+0.8*CE38)</f>
        <v>1.6554857436382464</v>
      </c>
      <c r="CG38" s="67">
        <f>IF(CC31&gt;0,CF38*CC38,0)</f>
        <v>0</v>
      </c>
      <c r="CI38" s="63" t="s">
        <v>58</v>
      </c>
      <c r="CJ38" s="64">
        <f>$D$26</f>
        <v>0</v>
      </c>
      <c r="CK38" s="65">
        <f>CJ38/43560</f>
        <v>0</v>
      </c>
      <c r="CL38" s="64">
        <v>98</v>
      </c>
      <c r="CM38" s="66">
        <f>(1000/CL38)-10</f>
        <v>0.204081632653061</v>
      </c>
      <c r="CN38" s="66">
        <f>(CK31-0.2*CM38)^2/(CK31+0.8*CM38)</f>
        <v>0.5033482896704783</v>
      </c>
      <c r="CO38" s="67">
        <f>IF(CK31&gt;0,CN38*CK38,0)</f>
        <v>0</v>
      </c>
      <c r="CQ38" s="63" t="s">
        <v>58</v>
      </c>
      <c r="CR38" s="64">
        <f>$D$26</f>
        <v>0</v>
      </c>
      <c r="CS38" s="65">
        <f>CR38/43560</f>
        <v>0</v>
      </c>
      <c r="CT38" s="64">
        <v>98</v>
      </c>
      <c r="CU38" s="66">
        <f>(1000/CT38)-10</f>
        <v>0.204081632653061</v>
      </c>
      <c r="CV38" s="66">
        <f>(CS31-0.2*CU38)^2/(CS31+0.8*CU38)</f>
        <v>0.7909058360186182</v>
      </c>
      <c r="CW38" s="67">
        <f>IF(CS31&gt;0,CV38*CS38,0)</f>
        <v>0</v>
      </c>
      <c r="CY38" s="63" t="s">
        <v>58</v>
      </c>
      <c r="CZ38" s="64">
        <f>$D$26</f>
        <v>0</v>
      </c>
      <c r="DA38" s="65">
        <f>CZ38/43560</f>
        <v>0</v>
      </c>
      <c r="DB38" s="64">
        <v>98</v>
      </c>
      <c r="DC38" s="66">
        <f>(1000/DB38)-10</f>
        <v>0.204081632653061</v>
      </c>
      <c r="DD38" s="66">
        <f>(DA31-0.2*DC38)^2/(DA31+0.8*DC38)</f>
        <v>0.032438267366165896</v>
      </c>
      <c r="DE38" s="67">
        <f>IF(DA31&gt;0,DD38*DA38,0)</f>
        <v>0</v>
      </c>
      <c r="DG38" s="63" t="s">
        <v>58</v>
      </c>
      <c r="DH38" s="64">
        <f>$D$26</f>
        <v>0</v>
      </c>
      <c r="DI38" s="65">
        <f>DH38/43560</f>
        <v>0</v>
      </c>
      <c r="DJ38" s="64">
        <v>98</v>
      </c>
      <c r="DK38" s="66">
        <f>(1000/DJ38)-10</f>
        <v>0.204081632653061</v>
      </c>
      <c r="DL38" s="66">
        <f>(DI31-0.2*DK38)^2/(DI31+0.8*DK38)</f>
        <v>0.16128516271373422</v>
      </c>
      <c r="DM38" s="67">
        <f>IF(DI31&gt;0,DL38*DI38,0)</f>
        <v>0</v>
      </c>
      <c r="DO38" s="63" t="s">
        <v>58</v>
      </c>
      <c r="DP38" s="64">
        <f>$D$26</f>
        <v>0</v>
      </c>
      <c r="DQ38" s="65">
        <f>DP38/43560</f>
        <v>0</v>
      </c>
      <c r="DR38" s="64">
        <v>98</v>
      </c>
      <c r="DS38" s="66">
        <f>(1000/DR38)-10</f>
        <v>0.204081632653061</v>
      </c>
      <c r="DT38" s="66">
        <f>(DQ31-0.2*DS38)^2/(DQ31+0.8*DS38)</f>
        <v>0.5222558376400469</v>
      </c>
      <c r="DU38" s="67">
        <f>IF(DQ31&gt;0,DT38*DQ38,0)</f>
        <v>0</v>
      </c>
      <c r="DW38" s="63" t="s">
        <v>58</v>
      </c>
      <c r="DX38" s="64">
        <f>$D$26</f>
        <v>0</v>
      </c>
      <c r="DY38" s="65">
        <f>DX38/43560</f>
        <v>0</v>
      </c>
      <c r="DZ38" s="64">
        <v>98</v>
      </c>
      <c r="EA38" s="66">
        <f>(1000/DZ38)-10</f>
        <v>0.204081632653061</v>
      </c>
      <c r="EB38" s="66">
        <f>(DY31-0.2*EA38)^2/(DY31+0.8*EA38)</f>
        <v>0.04394145537002685</v>
      </c>
      <c r="EC38" s="67">
        <f>IF(DY31&gt;0,EB38*DY38,0)</f>
        <v>0</v>
      </c>
      <c r="EE38" s="63" t="s">
        <v>58</v>
      </c>
      <c r="EF38" s="64">
        <f>$D$26</f>
        <v>0</v>
      </c>
      <c r="EG38" s="65">
        <f>EF38/43560</f>
        <v>0</v>
      </c>
      <c r="EH38" s="64">
        <v>98</v>
      </c>
      <c r="EI38" s="66">
        <f>(1000/EH38)-10</f>
        <v>0.204081632653061</v>
      </c>
      <c r="EJ38" s="66">
        <f>(EG31-0.2*EI38)^2/(EG31+0.8*EI38)</f>
        <v>0.16128516271373422</v>
      </c>
      <c r="EK38" s="67">
        <f>IF(EG31&gt;0,EJ38*EG38,0)</f>
        <v>0</v>
      </c>
      <c r="EM38" s="63" t="s">
        <v>58</v>
      </c>
      <c r="EN38" s="64">
        <f>$D$26</f>
        <v>0</v>
      </c>
      <c r="EO38" s="65">
        <f>EN38/43560</f>
        <v>0</v>
      </c>
      <c r="EP38" s="64">
        <v>98</v>
      </c>
      <c r="EQ38" s="66">
        <f>(1000/EP38)-10</f>
        <v>0.204081632653061</v>
      </c>
      <c r="ER38" s="66">
        <f>(EO31-0.2*EQ38)^2/(EO31+0.8*EQ38)</f>
        <v>0.627033750833393</v>
      </c>
      <c r="ES38" s="67">
        <f>IF(EO31&gt;0,ER38*EO38,0)</f>
        <v>0</v>
      </c>
      <c r="EU38" s="63" t="s">
        <v>58</v>
      </c>
      <c r="EV38" s="64">
        <f>$D$26</f>
        <v>0</v>
      </c>
      <c r="EW38" s="65">
        <f>EV38/43560</f>
        <v>0</v>
      </c>
      <c r="EX38" s="64">
        <v>98</v>
      </c>
      <c r="EY38" s="66">
        <f>(1000/EX38)-10</f>
        <v>0.204081632653061</v>
      </c>
      <c r="EZ38" s="66">
        <f>(EW31-0.2*EY38)^2/(EW31+0.8*EY38)</f>
        <v>0.5033482896704783</v>
      </c>
      <c r="FA38" s="67">
        <f>IF(EW31&gt;0,EZ38*EW38,0)</f>
        <v>0</v>
      </c>
      <c r="FC38" s="63" t="s">
        <v>58</v>
      </c>
      <c r="FD38" s="64">
        <f>$D$26</f>
        <v>0</v>
      </c>
      <c r="FE38" s="65">
        <f>FD38/43560</f>
        <v>0</v>
      </c>
      <c r="FF38" s="64">
        <v>98</v>
      </c>
      <c r="FG38" s="66">
        <f>(1000/FF38)-10</f>
        <v>0.204081632653061</v>
      </c>
      <c r="FH38" s="66">
        <f>(FE31-0.2*FG38)^2/(FE31+0.8*FG38)</f>
        <v>0.2908711779910161</v>
      </c>
      <c r="FI38" s="67">
        <f>IF(FE31&gt;0,FH38*FE38,0)</f>
        <v>0</v>
      </c>
      <c r="FJ38" s="45"/>
      <c r="FK38" s="63" t="s">
        <v>58</v>
      </c>
      <c r="FL38" s="64">
        <f>$D$26</f>
        <v>0</v>
      </c>
      <c r="FM38" s="65">
        <f>FL38/43560</f>
        <v>0</v>
      </c>
      <c r="FN38" s="64">
        <v>98</v>
      </c>
      <c r="FO38" s="66">
        <f>(1000/FN38)-10</f>
        <v>0.204081632653061</v>
      </c>
      <c r="FP38" s="66">
        <f>(FM31-0.2*FO38)^2/(FM31+0.8*FO38)</f>
        <v>0.10588309397833215</v>
      </c>
      <c r="FQ38" s="67">
        <f>IF(FM31&gt;0,FP38*FM38,0)</f>
        <v>0</v>
      </c>
      <c r="FR38" s="45"/>
      <c r="FS38" s="63" t="s">
        <v>58</v>
      </c>
      <c r="FT38" s="64">
        <f>$D$26</f>
        <v>0</v>
      </c>
      <c r="FU38" s="65">
        <f>FT38/43560</f>
        <v>0</v>
      </c>
      <c r="FV38" s="64">
        <v>98</v>
      </c>
      <c r="FW38" s="66">
        <f>(1000/FV38)-10</f>
        <v>0.204081632653061</v>
      </c>
      <c r="FX38" s="66">
        <f>(FU31-0.2*FW38)^2/(FU31+0.8*FW38)</f>
        <v>0.5222558376400469</v>
      </c>
      <c r="FY38" s="67">
        <f>IF(FU31&gt;0,FX38*FU38,0)</f>
        <v>0</v>
      </c>
      <c r="FZ38" s="45"/>
      <c r="GA38" s="63" t="s">
        <v>58</v>
      </c>
      <c r="GB38" s="64">
        <f>$D$26</f>
        <v>0</v>
      </c>
      <c r="GC38" s="65">
        <f>GB38/43560</f>
        <v>0</v>
      </c>
      <c r="GD38" s="64">
        <v>98</v>
      </c>
      <c r="GE38" s="66">
        <f>(1000/GD38)-10</f>
        <v>0.204081632653061</v>
      </c>
      <c r="GF38" s="66">
        <f>(GC31-0.2*GE38)^2/(GC31+0.8*GE38)</f>
        <v>0.39113763462551426</v>
      </c>
      <c r="GG38" s="67">
        <f>IF(GC31&gt;0,GF38*GC38,0)</f>
        <v>0</v>
      </c>
      <c r="GH38" s="45"/>
      <c r="GI38" s="63" t="s">
        <v>58</v>
      </c>
      <c r="GJ38" s="64">
        <f>$D$26</f>
        <v>0</v>
      </c>
      <c r="GK38" s="65">
        <f>GJ38/43560</f>
        <v>0</v>
      </c>
      <c r="GL38" s="64">
        <v>98</v>
      </c>
      <c r="GM38" s="66">
        <f>(1000/GL38)-10</f>
        <v>0.204081632653061</v>
      </c>
      <c r="GN38" s="66">
        <f>(GK31-0.2*GM38)^2/(GK31+0.8*GM38)</f>
        <v>0.05643475939721911</v>
      </c>
      <c r="GO38" s="67">
        <f>IF(GK31&gt;0,GN38*GK38,0)</f>
        <v>0</v>
      </c>
      <c r="GP38" s="45"/>
      <c r="GQ38" s="93"/>
      <c r="GR38" s="45"/>
      <c r="GS38" s="94"/>
      <c r="GT38" s="45"/>
      <c r="GU38" s="95"/>
      <c r="GV38" s="95"/>
      <c r="GW38" s="95"/>
      <c r="GX38" s="45"/>
      <c r="GY38" s="45"/>
      <c r="GZ38" s="45"/>
      <c r="HA38" s="45"/>
      <c r="HB38" s="45"/>
      <c r="HC38" s="45"/>
      <c r="HD38" s="45"/>
      <c r="HE38" s="45"/>
      <c r="HF38" s="45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</row>
    <row r="39" spans="1:225" ht="14.25">
      <c r="A39" s="135"/>
      <c r="B39" s="135"/>
      <c r="C39" s="136" t="s">
        <v>119</v>
      </c>
      <c r="D39" s="115"/>
      <c r="E39" s="134" t="s">
        <v>266</v>
      </c>
      <c r="F39" s="135"/>
      <c r="G39" s="135"/>
      <c r="H39" s="135"/>
      <c r="I39" s="135"/>
      <c r="K39" s="19" t="s">
        <v>121</v>
      </c>
      <c r="L39" s="20"/>
      <c r="M39" s="20"/>
      <c r="N39" s="22"/>
      <c r="O39" s="23"/>
      <c r="P39" s="19" t="s">
        <v>122</v>
      </c>
      <c r="Q39" s="20"/>
      <c r="R39" s="20"/>
      <c r="S39" s="20"/>
      <c r="T39" s="30" t="s">
        <v>123</v>
      </c>
      <c r="U39" s="70" t="s">
        <v>124</v>
      </c>
      <c r="AB39" s="17" t="s">
        <v>59</v>
      </c>
      <c r="AC39" s="69" t="e">
        <f>SUM(AC33:AC38)</f>
        <v>#N/A</v>
      </c>
      <c r="AD39" s="24"/>
      <c r="AJ39" s="17" t="s">
        <v>59</v>
      </c>
      <c r="AK39" s="69" t="e">
        <f>SUM(AK33:AK38)</f>
        <v>#N/A</v>
      </c>
      <c r="AR39" s="17" t="s">
        <v>59</v>
      </c>
      <c r="AS39" s="69" t="e">
        <f>SUM(AS33:AS38)</f>
        <v>#N/A</v>
      </c>
      <c r="AZ39" s="17" t="s">
        <v>59</v>
      </c>
      <c r="BA39" s="69" t="e">
        <f>SUM(BA33:BA38)</f>
        <v>#N/A</v>
      </c>
      <c r="BH39" s="17" t="s">
        <v>59</v>
      </c>
      <c r="BI39" s="69" t="e">
        <f>SUM(BI33:BI38)</f>
        <v>#N/A</v>
      </c>
      <c r="BP39" s="17" t="s">
        <v>59</v>
      </c>
      <c r="BQ39" s="69" t="e">
        <f>SUM(BQ33:BQ38)</f>
        <v>#N/A</v>
      </c>
      <c r="BX39" s="17" t="s">
        <v>59</v>
      </c>
      <c r="BY39" s="69" t="e">
        <f>SUM(BY33:BY38)</f>
        <v>#N/A</v>
      </c>
      <c r="CF39" s="17" t="s">
        <v>59</v>
      </c>
      <c r="CG39" s="69" t="e">
        <f>SUM(CG33:CG38)</f>
        <v>#N/A</v>
      </c>
      <c r="CN39" s="17" t="s">
        <v>59</v>
      </c>
      <c r="CO39" s="69" t="e">
        <f>SUM(CO33:CO38)</f>
        <v>#N/A</v>
      </c>
      <c r="CV39" s="17" t="s">
        <v>59</v>
      </c>
      <c r="CW39" s="69" t="e">
        <f>SUM(CW33:CW38)</f>
        <v>#N/A</v>
      </c>
      <c r="DD39" s="17" t="s">
        <v>59</v>
      </c>
      <c r="DE39" s="69" t="e">
        <f>SUM(DE33:DE38)</f>
        <v>#N/A</v>
      </c>
      <c r="DL39" s="17" t="s">
        <v>59</v>
      </c>
      <c r="DM39" s="69" t="e">
        <f>SUM(DM33:DM38)</f>
        <v>#N/A</v>
      </c>
      <c r="DT39" s="17" t="s">
        <v>59</v>
      </c>
      <c r="DU39" s="69" t="e">
        <f>SUM(DU33:DU38)</f>
        <v>#N/A</v>
      </c>
      <c r="EB39" s="17" t="s">
        <v>59</v>
      </c>
      <c r="EC39" s="69" t="e">
        <f>SUM(EC33:EC38)</f>
        <v>#N/A</v>
      </c>
      <c r="EJ39" s="17" t="s">
        <v>59</v>
      </c>
      <c r="EK39" s="69" t="e">
        <f>SUM(EK33:EK38)</f>
        <v>#N/A</v>
      </c>
      <c r="ER39" s="17" t="s">
        <v>59</v>
      </c>
      <c r="ES39" s="69" t="e">
        <f>SUM(ES33:ES38)</f>
        <v>#N/A</v>
      </c>
      <c r="EZ39" s="17" t="s">
        <v>59</v>
      </c>
      <c r="FA39" s="69" t="e">
        <f>SUM(FA33:FA38)</f>
        <v>#N/A</v>
      </c>
      <c r="FH39" s="17" t="s">
        <v>59</v>
      </c>
      <c r="FI39" s="69" t="e">
        <f>SUM(FI33:FI38)</f>
        <v>#N/A</v>
      </c>
      <c r="FJ39" s="45"/>
      <c r="FP39" s="17" t="s">
        <v>59</v>
      </c>
      <c r="FQ39" s="69" t="e">
        <f>SUM(FQ33:FQ38)</f>
        <v>#N/A</v>
      </c>
      <c r="FR39" s="45"/>
      <c r="FX39" s="17" t="s">
        <v>59</v>
      </c>
      <c r="FY39" s="69" t="e">
        <f>SUM(FY33:FY38)</f>
        <v>#N/A</v>
      </c>
      <c r="FZ39" s="45"/>
      <c r="GF39" s="17" t="s">
        <v>59</v>
      </c>
      <c r="GG39" s="69" t="e">
        <f>SUM(GG33:GG38)</f>
        <v>#N/A</v>
      </c>
      <c r="GH39" s="45"/>
      <c r="GN39" s="17" t="s">
        <v>59</v>
      </c>
      <c r="GO39" s="69" t="e">
        <f>SUM(GO33:GO38)</f>
        <v>#N/A</v>
      </c>
      <c r="GP39" s="45"/>
      <c r="GQ39" s="45"/>
      <c r="GR39" s="45"/>
      <c r="GS39" s="45"/>
      <c r="GT39" s="45"/>
      <c r="GU39" s="45"/>
      <c r="GV39" s="45"/>
      <c r="GW39" s="95"/>
      <c r="GX39" s="45"/>
      <c r="GY39" s="45"/>
      <c r="GZ39" s="45"/>
      <c r="HA39" s="45"/>
      <c r="HB39" s="45"/>
      <c r="HC39" s="45"/>
      <c r="HD39" s="45"/>
      <c r="HE39" s="45"/>
      <c r="HF39" s="45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</row>
    <row r="40" spans="1:225" ht="14.25">
      <c r="A40" s="135"/>
      <c r="B40" s="135"/>
      <c r="C40" s="136" t="s">
        <v>284</v>
      </c>
      <c r="D40" s="115"/>
      <c r="E40" s="134" t="s">
        <v>285</v>
      </c>
      <c r="F40" s="135"/>
      <c r="G40" s="135"/>
      <c r="H40" s="135"/>
      <c r="I40" s="135"/>
      <c r="K40" s="97" t="e">
        <f>O30</f>
        <v>#DIV/0!</v>
      </c>
      <c r="L40" s="38">
        <v>0.85</v>
      </c>
      <c r="M40" s="38" t="e">
        <f>K40*L40</f>
        <v>#DIV/0!</v>
      </c>
      <c r="N40" s="39" t="s">
        <v>126</v>
      </c>
      <c r="O40" s="23"/>
      <c r="P40" s="55" t="s">
        <v>127</v>
      </c>
      <c r="Q40" s="34">
        <f>D40</f>
        <v>0</v>
      </c>
      <c r="R40" s="34"/>
      <c r="S40" s="34"/>
      <c r="T40" s="71" t="s">
        <v>124</v>
      </c>
      <c r="U40" s="72"/>
      <c r="AB40" s="24"/>
      <c r="AC40" s="24"/>
      <c r="AD40" s="24"/>
      <c r="AE40" s="24"/>
      <c r="AF40" s="24"/>
      <c r="AG40" s="24"/>
      <c r="AH40" s="24"/>
      <c r="AI40" s="24"/>
      <c r="AM40" s="24"/>
      <c r="AN40" s="24"/>
      <c r="AO40" s="24"/>
      <c r="AP40" s="24"/>
      <c r="AQ40" s="24"/>
      <c r="AU40" s="24"/>
      <c r="AV40" s="24"/>
      <c r="AW40" s="24"/>
      <c r="AX40" s="24"/>
      <c r="AY40" s="24"/>
      <c r="BC40" s="24"/>
      <c r="BD40" s="24"/>
      <c r="BE40" s="24"/>
      <c r="BF40" s="24"/>
      <c r="BG40" s="24"/>
      <c r="BK40" s="24"/>
      <c r="BL40" s="24"/>
      <c r="BM40" s="24"/>
      <c r="BN40" s="24"/>
      <c r="BO40" s="24"/>
      <c r="BS40" s="24"/>
      <c r="BT40" s="24"/>
      <c r="BU40" s="24"/>
      <c r="BV40" s="24"/>
      <c r="BW40" s="24"/>
      <c r="CA40" s="24"/>
      <c r="CB40" s="24"/>
      <c r="CC40" s="24"/>
      <c r="CD40" s="24"/>
      <c r="CE40" s="24"/>
      <c r="CI40" s="24"/>
      <c r="CJ40" s="24"/>
      <c r="CK40" s="24"/>
      <c r="CL40" s="24"/>
      <c r="CM40" s="24"/>
      <c r="CQ40" s="24"/>
      <c r="CR40" s="24"/>
      <c r="CS40" s="24"/>
      <c r="CT40" s="24"/>
      <c r="CU40" s="24"/>
      <c r="CY40" s="24"/>
      <c r="CZ40" s="24"/>
      <c r="DA40" s="24"/>
      <c r="DB40" s="24"/>
      <c r="DC40" s="24"/>
      <c r="DG40" s="24"/>
      <c r="DH40" s="24"/>
      <c r="DI40" s="24"/>
      <c r="DJ40" s="24"/>
      <c r="DK40" s="24"/>
      <c r="DO40" s="24"/>
      <c r="DP40" s="24"/>
      <c r="DQ40" s="24"/>
      <c r="DR40" s="24"/>
      <c r="DS40" s="24"/>
      <c r="DW40" s="24"/>
      <c r="DX40" s="24"/>
      <c r="DY40" s="24"/>
      <c r="DZ40" s="24"/>
      <c r="EA40" s="24"/>
      <c r="EE40" s="24"/>
      <c r="EF40" s="24"/>
      <c r="EG40" s="24"/>
      <c r="EH40" s="24"/>
      <c r="EI40" s="24"/>
      <c r="EM40" s="24"/>
      <c r="EN40" s="24"/>
      <c r="EO40" s="24"/>
      <c r="EP40" s="24"/>
      <c r="EQ40" s="24"/>
      <c r="EU40" s="24"/>
      <c r="EV40" s="24"/>
      <c r="EW40" s="24"/>
      <c r="EX40" s="24"/>
      <c r="EY40" s="24"/>
      <c r="FC40" s="24"/>
      <c r="FD40" s="24"/>
      <c r="FE40" s="24"/>
      <c r="FF40" s="24"/>
      <c r="FG40" s="24"/>
      <c r="FJ40" s="45"/>
      <c r="FK40" s="24"/>
      <c r="FL40" s="24"/>
      <c r="FM40" s="24"/>
      <c r="FN40" s="24"/>
      <c r="FO40" s="24"/>
      <c r="FR40" s="45"/>
      <c r="FS40" s="24"/>
      <c r="FT40" s="24"/>
      <c r="FU40" s="24"/>
      <c r="FV40" s="24"/>
      <c r="FW40" s="24"/>
      <c r="FZ40" s="45"/>
      <c r="GA40" s="24"/>
      <c r="GB40" s="24"/>
      <c r="GC40" s="24"/>
      <c r="GD40" s="24"/>
      <c r="GE40" s="24"/>
      <c r="GH40" s="45"/>
      <c r="GI40" s="24"/>
      <c r="GJ40" s="24"/>
      <c r="GK40" s="24"/>
      <c r="GL40" s="24"/>
      <c r="GM40" s="24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</row>
    <row r="41" spans="1:225" ht="14.25">
      <c r="A41" s="135"/>
      <c r="B41" s="135"/>
      <c r="C41" s="135"/>
      <c r="D41" s="135"/>
      <c r="E41" s="135"/>
      <c r="F41" s="135"/>
      <c r="G41" s="135"/>
      <c r="H41" s="135"/>
      <c r="I41" s="135"/>
      <c r="K41" s="23"/>
      <c r="L41" s="23"/>
      <c r="M41" s="23"/>
      <c r="N41" s="23"/>
      <c r="O41" s="23"/>
      <c r="P41" s="55" t="s">
        <v>129</v>
      </c>
      <c r="Q41" s="34">
        <f>IF(D39&lt;1,1,D39)</f>
        <v>1</v>
      </c>
      <c r="R41" s="34">
        <f>LOG(Q41,10)</f>
        <v>0</v>
      </c>
      <c r="S41" s="34">
        <f>(0.5*R41)-Q40</f>
        <v>0</v>
      </c>
      <c r="T41" s="34">
        <f>POWER(10,S41)</f>
        <v>1</v>
      </c>
      <c r="U41" s="35">
        <f>IF(T41&gt;2,2,T41)</f>
        <v>1</v>
      </c>
      <c r="AB41" s="24"/>
      <c r="AC41" s="24"/>
      <c r="AD41" s="25"/>
      <c r="AE41" s="24"/>
      <c r="AF41" s="24"/>
      <c r="AG41" s="24"/>
      <c r="AH41" s="64"/>
      <c r="AI41" s="64"/>
      <c r="AJ41" s="64"/>
      <c r="AM41" s="24"/>
      <c r="AN41" s="24"/>
      <c r="AO41" s="24"/>
      <c r="AP41" s="64"/>
      <c r="AQ41" s="64"/>
      <c r="AR41" s="64"/>
      <c r="AU41" s="24"/>
      <c r="AV41" s="24"/>
      <c r="AW41" s="24"/>
      <c r="AX41" s="64"/>
      <c r="AY41" s="64"/>
      <c r="AZ41" s="64"/>
      <c r="BC41" s="24"/>
      <c r="BD41" s="24"/>
      <c r="BE41" s="24"/>
      <c r="BF41" s="64"/>
      <c r="BG41" s="64"/>
      <c r="BH41" s="64"/>
      <c r="BK41" s="24"/>
      <c r="BL41" s="24"/>
      <c r="BM41" s="24"/>
      <c r="BN41" s="64"/>
      <c r="BO41" s="64"/>
      <c r="BP41" s="64"/>
      <c r="BS41" s="24"/>
      <c r="BT41" s="24"/>
      <c r="BU41" s="24"/>
      <c r="BV41" s="64"/>
      <c r="BW41" s="64"/>
      <c r="BX41" s="64"/>
      <c r="CA41" s="24"/>
      <c r="CB41" s="24"/>
      <c r="CC41" s="24"/>
      <c r="CD41" s="64"/>
      <c r="CE41" s="64"/>
      <c r="CF41" s="64"/>
      <c r="CI41" s="24"/>
      <c r="CJ41" s="24"/>
      <c r="CK41" s="24"/>
      <c r="CL41" s="64"/>
      <c r="CM41" s="64"/>
      <c r="CN41" s="64"/>
      <c r="CQ41" s="24"/>
      <c r="CR41" s="24"/>
      <c r="CS41" s="24"/>
      <c r="CT41" s="64"/>
      <c r="CU41" s="64"/>
      <c r="CV41" s="64"/>
      <c r="CY41" s="24"/>
      <c r="CZ41" s="24"/>
      <c r="DA41" s="24"/>
      <c r="DB41" s="64"/>
      <c r="DC41" s="64"/>
      <c r="DD41" s="64"/>
      <c r="DG41" s="24"/>
      <c r="DH41" s="24"/>
      <c r="DI41" s="24"/>
      <c r="DJ41" s="64"/>
      <c r="DK41" s="64"/>
      <c r="DL41" s="64"/>
      <c r="DO41" s="24"/>
      <c r="DP41" s="24"/>
      <c r="DQ41" s="24"/>
      <c r="DR41" s="64"/>
      <c r="DS41" s="64"/>
      <c r="DT41" s="64"/>
      <c r="DW41" s="24"/>
      <c r="DX41" s="24"/>
      <c r="DY41" s="24"/>
      <c r="DZ41" s="64"/>
      <c r="EA41" s="64"/>
      <c r="EB41" s="64"/>
      <c r="EE41" s="24"/>
      <c r="EF41" s="24"/>
      <c r="EG41" s="24"/>
      <c r="EH41" s="64"/>
      <c r="EI41" s="64"/>
      <c r="EJ41" s="64"/>
      <c r="EM41" s="24"/>
      <c r="EN41" s="24"/>
      <c r="EO41" s="24"/>
      <c r="EP41" s="64"/>
      <c r="EQ41" s="64"/>
      <c r="ER41" s="64"/>
      <c r="EU41" s="24"/>
      <c r="EV41" s="24"/>
      <c r="EW41" s="24"/>
      <c r="EX41" s="64"/>
      <c r="EY41" s="64"/>
      <c r="EZ41" s="64"/>
      <c r="FC41" s="24"/>
      <c r="FD41" s="24"/>
      <c r="FE41" s="24"/>
      <c r="FF41" s="64"/>
      <c r="FG41" s="64"/>
      <c r="FH41" s="64"/>
      <c r="FJ41" s="45"/>
      <c r="FK41" s="24"/>
      <c r="FL41" s="24"/>
      <c r="FM41" s="24"/>
      <c r="FN41" s="64"/>
      <c r="FO41" s="64"/>
      <c r="FP41" s="64"/>
      <c r="FR41" s="45"/>
      <c r="FS41" s="24"/>
      <c r="FT41" s="24"/>
      <c r="FU41" s="24"/>
      <c r="FV41" s="64"/>
      <c r="FW41" s="64"/>
      <c r="FX41" s="64"/>
      <c r="FZ41" s="45"/>
      <c r="GA41" s="24"/>
      <c r="GB41" s="24"/>
      <c r="GC41" s="24"/>
      <c r="GD41" s="64"/>
      <c r="GE41" s="64"/>
      <c r="GF41" s="64"/>
      <c r="GH41" s="45"/>
      <c r="GI41" s="24"/>
      <c r="GJ41" s="24"/>
      <c r="GK41" s="24"/>
      <c r="GL41" s="64"/>
      <c r="GM41" s="64"/>
      <c r="GN41" s="64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</row>
    <row r="42" spans="11:225" ht="14.25">
      <c r="K42" s="23" t="s">
        <v>131</v>
      </c>
      <c r="L42" s="23" t="s">
        <v>132</v>
      </c>
      <c r="M42" s="23"/>
      <c r="N42" s="34"/>
      <c r="O42" s="34"/>
      <c r="P42" s="55" t="s">
        <v>133</v>
      </c>
      <c r="Q42" s="34">
        <f>D92</f>
        <v>0</v>
      </c>
      <c r="R42" s="34"/>
      <c r="S42" s="34"/>
      <c r="T42" s="34"/>
      <c r="U42" s="35"/>
      <c r="Z42" s="40"/>
      <c r="AA42" s="41"/>
      <c r="AB42" s="43"/>
      <c r="AC42" s="24"/>
      <c r="AD42" s="31"/>
      <c r="AE42" s="24"/>
      <c r="AF42" s="24"/>
      <c r="AG42" s="24"/>
      <c r="AH42" s="40"/>
      <c r="AI42" s="41"/>
      <c r="AJ42" s="43"/>
      <c r="AM42" s="24"/>
      <c r="AN42" s="24"/>
      <c r="AO42" s="24"/>
      <c r="AP42" s="40"/>
      <c r="AQ42" s="41"/>
      <c r="AR42" s="43"/>
      <c r="AU42" s="24"/>
      <c r="AV42" s="24"/>
      <c r="AW42" s="24"/>
      <c r="AX42" s="40"/>
      <c r="AY42" s="41"/>
      <c r="AZ42" s="43"/>
      <c r="BC42" s="24"/>
      <c r="BD42" s="24"/>
      <c r="BE42" s="24"/>
      <c r="BF42" s="40"/>
      <c r="BG42" s="41"/>
      <c r="BH42" s="43"/>
      <c r="BK42" s="24"/>
      <c r="BL42" s="24"/>
      <c r="BM42" s="24"/>
      <c r="BN42" s="40"/>
      <c r="BO42" s="41"/>
      <c r="BP42" s="43"/>
      <c r="BS42" s="24"/>
      <c r="BT42" s="24"/>
      <c r="BU42" s="24"/>
      <c r="BV42" s="40"/>
      <c r="BW42" s="41"/>
      <c r="BX42" s="43"/>
      <c r="CA42" s="24"/>
      <c r="CB42" s="24"/>
      <c r="CC42" s="24"/>
      <c r="CD42" s="40"/>
      <c r="CE42" s="41"/>
      <c r="CF42" s="43"/>
      <c r="CI42" s="24"/>
      <c r="CJ42" s="24"/>
      <c r="CK42" s="24"/>
      <c r="CL42" s="40"/>
      <c r="CM42" s="41"/>
      <c r="CN42" s="43"/>
      <c r="CQ42" s="24"/>
      <c r="CR42" s="24"/>
      <c r="CS42" s="24"/>
      <c r="CT42" s="40"/>
      <c r="CU42" s="41"/>
      <c r="CV42" s="43"/>
      <c r="CY42" s="24"/>
      <c r="CZ42" s="24"/>
      <c r="DA42" s="24"/>
      <c r="DB42" s="40"/>
      <c r="DC42" s="41"/>
      <c r="DD42" s="43"/>
      <c r="DG42" s="24"/>
      <c r="DH42" s="24"/>
      <c r="DI42" s="24"/>
      <c r="DJ42" s="40"/>
      <c r="DK42" s="41"/>
      <c r="DL42" s="43"/>
      <c r="DO42" s="24"/>
      <c r="DP42" s="24"/>
      <c r="DQ42" s="24"/>
      <c r="DR42" s="40"/>
      <c r="DS42" s="41"/>
      <c r="DT42" s="43"/>
      <c r="DW42" s="24"/>
      <c r="DX42" s="24"/>
      <c r="DY42" s="24"/>
      <c r="DZ42" s="40"/>
      <c r="EA42" s="41"/>
      <c r="EB42" s="43"/>
      <c r="EE42" s="24"/>
      <c r="EF42" s="24"/>
      <c r="EG42" s="24"/>
      <c r="EH42" s="40"/>
      <c r="EI42" s="41"/>
      <c r="EJ42" s="43"/>
      <c r="EM42" s="24"/>
      <c r="EN42" s="24"/>
      <c r="EO42" s="24"/>
      <c r="EP42" s="40"/>
      <c r="EQ42" s="41"/>
      <c r="ER42" s="43"/>
      <c r="EU42" s="24"/>
      <c r="EV42" s="24"/>
      <c r="EW42" s="24"/>
      <c r="EX42" s="40"/>
      <c r="EY42" s="41"/>
      <c r="EZ42" s="43"/>
      <c r="FC42" s="24"/>
      <c r="FD42" s="24"/>
      <c r="FE42" s="24"/>
      <c r="FF42" s="40"/>
      <c r="FG42" s="41"/>
      <c r="FH42" s="43"/>
      <c r="FJ42" s="45"/>
      <c r="FK42" s="24"/>
      <c r="FL42" s="24"/>
      <c r="FM42" s="24"/>
      <c r="FN42" s="40"/>
      <c r="FO42" s="41"/>
      <c r="FP42" s="43"/>
      <c r="FR42" s="45"/>
      <c r="FS42" s="24"/>
      <c r="FT42" s="24"/>
      <c r="FU42" s="24"/>
      <c r="FV42" s="40"/>
      <c r="FW42" s="41"/>
      <c r="FX42" s="43"/>
      <c r="FZ42" s="45"/>
      <c r="GA42" s="24"/>
      <c r="GB42" s="24"/>
      <c r="GC42" s="24"/>
      <c r="GD42" s="40"/>
      <c r="GE42" s="41"/>
      <c r="GF42" s="43"/>
      <c r="GH42" s="45"/>
      <c r="GI42" s="24"/>
      <c r="GJ42" s="24"/>
      <c r="GK42" s="24"/>
      <c r="GL42" s="40"/>
      <c r="GM42" s="41"/>
      <c r="GN42" s="43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</row>
    <row r="43" spans="1:225" ht="14.25">
      <c r="A43" s="139"/>
      <c r="B43" s="139"/>
      <c r="C43" s="139"/>
      <c r="D43" s="139"/>
      <c r="E43" s="139"/>
      <c r="F43" s="139"/>
      <c r="G43" s="139"/>
      <c r="H43" s="141"/>
      <c r="I43" s="139"/>
      <c r="K43" s="98" t="s">
        <v>135</v>
      </c>
      <c r="L43" s="20" t="s">
        <v>2</v>
      </c>
      <c r="M43" s="20" t="s">
        <v>136</v>
      </c>
      <c r="N43" s="22"/>
      <c r="O43" s="34"/>
      <c r="P43" s="59" t="s">
        <v>129</v>
      </c>
      <c r="Q43" s="38">
        <f>IF(D91&lt;1,1,D91)</f>
        <v>1</v>
      </c>
      <c r="R43" s="38">
        <f>LOG(Q43,10)</f>
        <v>0</v>
      </c>
      <c r="S43" s="38">
        <f>(0.5*R43)-Q42</f>
        <v>0</v>
      </c>
      <c r="T43" s="38">
        <f>POWER(10,S43)</f>
        <v>1</v>
      </c>
      <c r="U43" s="39">
        <f>IF(T43&gt;2,2,T43)</f>
        <v>1</v>
      </c>
      <c r="Z43" s="74" t="s">
        <v>76</v>
      </c>
      <c r="AA43" s="24"/>
      <c r="AB43" s="75" t="s">
        <v>76</v>
      </c>
      <c r="AC43" s="24"/>
      <c r="AD43" s="31"/>
      <c r="AE43" s="24"/>
      <c r="AF43" s="24"/>
      <c r="AG43" s="24"/>
      <c r="AH43" s="74" t="s">
        <v>76</v>
      </c>
      <c r="AI43" s="24"/>
      <c r="AJ43" s="75" t="s">
        <v>76</v>
      </c>
      <c r="AM43" s="24"/>
      <c r="AN43" s="24"/>
      <c r="AO43" s="24"/>
      <c r="AP43" s="74" t="s">
        <v>76</v>
      </c>
      <c r="AQ43" s="24"/>
      <c r="AR43" s="75" t="s">
        <v>76</v>
      </c>
      <c r="AU43" s="24"/>
      <c r="AV43" s="24"/>
      <c r="AW43" s="24"/>
      <c r="AX43" s="74" t="s">
        <v>76</v>
      </c>
      <c r="AY43" s="24"/>
      <c r="AZ43" s="75" t="s">
        <v>76</v>
      </c>
      <c r="BC43" s="24"/>
      <c r="BD43" s="24"/>
      <c r="BE43" s="24"/>
      <c r="BF43" s="74" t="s">
        <v>76</v>
      </c>
      <c r="BG43" s="24"/>
      <c r="BH43" s="75" t="s">
        <v>76</v>
      </c>
      <c r="BK43" s="24"/>
      <c r="BL43" s="24"/>
      <c r="BM43" s="24"/>
      <c r="BN43" s="74" t="s">
        <v>76</v>
      </c>
      <c r="BO43" s="24"/>
      <c r="BP43" s="75" t="s">
        <v>76</v>
      </c>
      <c r="BS43" s="24"/>
      <c r="BT43" s="24"/>
      <c r="BU43" s="24"/>
      <c r="BV43" s="74" t="s">
        <v>76</v>
      </c>
      <c r="BW43" s="24"/>
      <c r="BX43" s="75" t="s">
        <v>76</v>
      </c>
      <c r="CA43" s="24"/>
      <c r="CB43" s="24"/>
      <c r="CC43" s="24"/>
      <c r="CD43" s="74" t="s">
        <v>76</v>
      </c>
      <c r="CE43" s="24"/>
      <c r="CF43" s="75" t="s">
        <v>76</v>
      </c>
      <c r="CI43" s="24"/>
      <c r="CJ43" s="24"/>
      <c r="CK43" s="24"/>
      <c r="CL43" s="74" t="s">
        <v>76</v>
      </c>
      <c r="CM43" s="24"/>
      <c r="CN43" s="75" t="s">
        <v>76</v>
      </c>
      <c r="CQ43" s="24"/>
      <c r="CR43" s="24"/>
      <c r="CS43" s="24"/>
      <c r="CT43" s="74" t="s">
        <v>76</v>
      </c>
      <c r="CU43" s="24"/>
      <c r="CV43" s="75" t="s">
        <v>76</v>
      </c>
      <c r="CY43" s="24"/>
      <c r="CZ43" s="24"/>
      <c r="DA43" s="24"/>
      <c r="DB43" s="74" t="s">
        <v>76</v>
      </c>
      <c r="DC43" s="24"/>
      <c r="DD43" s="75" t="s">
        <v>76</v>
      </c>
      <c r="DG43" s="24"/>
      <c r="DH43" s="24"/>
      <c r="DI43" s="24"/>
      <c r="DJ43" s="74" t="s">
        <v>76</v>
      </c>
      <c r="DK43" s="24"/>
      <c r="DL43" s="75" t="s">
        <v>76</v>
      </c>
      <c r="DO43" s="24"/>
      <c r="DP43" s="24"/>
      <c r="DQ43" s="24"/>
      <c r="DR43" s="74" t="s">
        <v>76</v>
      </c>
      <c r="DS43" s="24"/>
      <c r="DT43" s="75" t="s">
        <v>76</v>
      </c>
      <c r="DW43" s="24"/>
      <c r="DX43" s="24"/>
      <c r="DY43" s="24"/>
      <c r="DZ43" s="74" t="s">
        <v>76</v>
      </c>
      <c r="EA43" s="24"/>
      <c r="EB43" s="75" t="s">
        <v>76</v>
      </c>
      <c r="EE43" s="24"/>
      <c r="EF43" s="24"/>
      <c r="EG43" s="24"/>
      <c r="EH43" s="74" t="s">
        <v>76</v>
      </c>
      <c r="EI43" s="24"/>
      <c r="EJ43" s="75" t="s">
        <v>76</v>
      </c>
      <c r="EM43" s="24"/>
      <c r="EN43" s="24"/>
      <c r="EO43" s="24"/>
      <c r="EP43" s="74" t="s">
        <v>76</v>
      </c>
      <c r="EQ43" s="24"/>
      <c r="ER43" s="75" t="s">
        <v>76</v>
      </c>
      <c r="EU43" s="24"/>
      <c r="EV43" s="24"/>
      <c r="EW43" s="24"/>
      <c r="EX43" s="74" t="s">
        <v>76</v>
      </c>
      <c r="EY43" s="24"/>
      <c r="EZ43" s="75" t="s">
        <v>76</v>
      </c>
      <c r="FC43" s="24"/>
      <c r="FD43" s="24"/>
      <c r="FE43" s="24"/>
      <c r="FF43" s="74" t="s">
        <v>76</v>
      </c>
      <c r="FG43" s="24"/>
      <c r="FH43" s="75" t="s">
        <v>76</v>
      </c>
      <c r="FJ43" s="45"/>
      <c r="FK43" s="24"/>
      <c r="FL43" s="24"/>
      <c r="FM43" s="24"/>
      <c r="FN43" s="74" t="s">
        <v>76</v>
      </c>
      <c r="FO43" s="24"/>
      <c r="FP43" s="75" t="s">
        <v>76</v>
      </c>
      <c r="FR43" s="45"/>
      <c r="FS43" s="24"/>
      <c r="FT43" s="24"/>
      <c r="FU43" s="24"/>
      <c r="FV43" s="74" t="s">
        <v>76</v>
      </c>
      <c r="FW43" s="24"/>
      <c r="FX43" s="75" t="s">
        <v>76</v>
      </c>
      <c r="FZ43" s="45"/>
      <c r="GA43" s="24"/>
      <c r="GB43" s="24"/>
      <c r="GC43" s="24"/>
      <c r="GD43" s="74" t="s">
        <v>76</v>
      </c>
      <c r="GE43" s="24"/>
      <c r="GF43" s="75" t="s">
        <v>76</v>
      </c>
      <c r="GH43" s="45"/>
      <c r="GI43" s="24"/>
      <c r="GJ43" s="24"/>
      <c r="GK43" s="24"/>
      <c r="GL43" s="74" t="s">
        <v>76</v>
      </c>
      <c r="GM43" s="24"/>
      <c r="GN43" s="75" t="s">
        <v>76</v>
      </c>
      <c r="GP43" s="45"/>
      <c r="GQ43" s="45"/>
      <c r="GR43" s="45"/>
      <c r="GS43" s="45"/>
      <c r="GT43" s="99"/>
      <c r="GU43" s="45"/>
      <c r="GV43" s="99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</row>
    <row r="44" spans="1:225" ht="15">
      <c r="A44" s="174" t="s">
        <v>267</v>
      </c>
      <c r="B44" s="139"/>
      <c r="C44" s="177" t="str">
        <f>IF(D39&gt;0,IF(D40&gt;0,IF(E37&gt;=E83,O76," ")," ")," ")</f>
        <v> </v>
      </c>
      <c r="D44" s="175" t="s">
        <v>92</v>
      </c>
      <c r="E44" s="176" t="str">
        <f>IF(E37&gt;E83,IF(C44&lt;D30,"Good, Your P output is below the maximum","P Output is too high; Your buffer must be larger.")," ")</f>
        <v> </v>
      </c>
      <c r="F44" s="139"/>
      <c r="G44" s="139"/>
      <c r="H44" s="139"/>
      <c r="I44" s="139"/>
      <c r="K44" s="36" t="e">
        <f>M40</f>
        <v>#DIV/0!</v>
      </c>
      <c r="L44" s="61" t="e">
        <f>Q14</f>
        <v>#N/A</v>
      </c>
      <c r="M44" s="61" t="e">
        <f>$K$44*$L$44*0.227</f>
        <v>#DIV/0!</v>
      </c>
      <c r="N44" s="39" t="s">
        <v>139</v>
      </c>
      <c r="O44" s="23"/>
      <c r="P44" s="23"/>
      <c r="Q44" s="23"/>
      <c r="R44" s="23"/>
      <c r="S44" s="23"/>
      <c r="T44" s="23"/>
      <c r="U44" s="23"/>
      <c r="Z44" s="74" t="s">
        <v>78</v>
      </c>
      <c r="AA44" s="24"/>
      <c r="AB44" s="75" t="s">
        <v>79</v>
      </c>
      <c r="AC44" s="24"/>
      <c r="AD44" s="31"/>
      <c r="AE44" s="24"/>
      <c r="AF44" s="24"/>
      <c r="AG44" s="24"/>
      <c r="AH44" s="74" t="s">
        <v>78</v>
      </c>
      <c r="AI44" s="24"/>
      <c r="AJ44" s="75" t="s">
        <v>79</v>
      </c>
      <c r="AM44" s="24"/>
      <c r="AN44" s="24"/>
      <c r="AO44" s="24"/>
      <c r="AP44" s="74" t="s">
        <v>78</v>
      </c>
      <c r="AQ44" s="24"/>
      <c r="AR44" s="75" t="s">
        <v>79</v>
      </c>
      <c r="AU44" s="24"/>
      <c r="AV44" s="24"/>
      <c r="AW44" s="24"/>
      <c r="AX44" s="74" t="s">
        <v>78</v>
      </c>
      <c r="AY44" s="24"/>
      <c r="AZ44" s="75" t="s">
        <v>79</v>
      </c>
      <c r="BC44" s="24"/>
      <c r="BD44" s="24"/>
      <c r="BE44" s="24"/>
      <c r="BF44" s="74" t="s">
        <v>78</v>
      </c>
      <c r="BG44" s="24"/>
      <c r="BH44" s="75" t="s">
        <v>79</v>
      </c>
      <c r="BK44" s="24"/>
      <c r="BL44" s="24"/>
      <c r="BM44" s="24"/>
      <c r="BN44" s="74" t="s">
        <v>78</v>
      </c>
      <c r="BO44" s="24"/>
      <c r="BP44" s="75" t="s">
        <v>79</v>
      </c>
      <c r="BS44" s="24"/>
      <c r="BT44" s="24"/>
      <c r="BU44" s="24"/>
      <c r="BV44" s="74" t="s">
        <v>78</v>
      </c>
      <c r="BW44" s="24"/>
      <c r="BX44" s="75" t="s">
        <v>79</v>
      </c>
      <c r="CA44" s="24"/>
      <c r="CB44" s="24"/>
      <c r="CC44" s="24"/>
      <c r="CD44" s="74" t="s">
        <v>78</v>
      </c>
      <c r="CE44" s="24"/>
      <c r="CF44" s="75" t="s">
        <v>79</v>
      </c>
      <c r="CI44" s="24"/>
      <c r="CJ44" s="24"/>
      <c r="CK44" s="24"/>
      <c r="CL44" s="74" t="s">
        <v>78</v>
      </c>
      <c r="CM44" s="24"/>
      <c r="CN44" s="75" t="s">
        <v>79</v>
      </c>
      <c r="CQ44" s="24"/>
      <c r="CR44" s="24"/>
      <c r="CS44" s="24"/>
      <c r="CT44" s="74" t="s">
        <v>78</v>
      </c>
      <c r="CU44" s="24"/>
      <c r="CV44" s="75" t="s">
        <v>79</v>
      </c>
      <c r="CY44" s="24"/>
      <c r="CZ44" s="24"/>
      <c r="DA44" s="24"/>
      <c r="DB44" s="74" t="s">
        <v>78</v>
      </c>
      <c r="DC44" s="24"/>
      <c r="DD44" s="75" t="s">
        <v>79</v>
      </c>
      <c r="DG44" s="24"/>
      <c r="DH44" s="24"/>
      <c r="DI44" s="24"/>
      <c r="DJ44" s="74" t="s">
        <v>78</v>
      </c>
      <c r="DK44" s="24"/>
      <c r="DL44" s="75" t="s">
        <v>79</v>
      </c>
      <c r="DO44" s="24"/>
      <c r="DP44" s="24"/>
      <c r="DQ44" s="24"/>
      <c r="DR44" s="74" t="s">
        <v>78</v>
      </c>
      <c r="DS44" s="24"/>
      <c r="DT44" s="75" t="s">
        <v>79</v>
      </c>
      <c r="DW44" s="24"/>
      <c r="DX44" s="24"/>
      <c r="DY44" s="24"/>
      <c r="DZ44" s="74" t="s">
        <v>78</v>
      </c>
      <c r="EA44" s="24"/>
      <c r="EB44" s="75" t="s">
        <v>79</v>
      </c>
      <c r="EE44" s="24"/>
      <c r="EF44" s="24"/>
      <c r="EG44" s="24"/>
      <c r="EH44" s="74" t="s">
        <v>78</v>
      </c>
      <c r="EI44" s="24"/>
      <c r="EJ44" s="75" t="s">
        <v>79</v>
      </c>
      <c r="EM44" s="24"/>
      <c r="EN44" s="24"/>
      <c r="EO44" s="24"/>
      <c r="EP44" s="74" t="s">
        <v>78</v>
      </c>
      <c r="EQ44" s="24"/>
      <c r="ER44" s="75" t="s">
        <v>79</v>
      </c>
      <c r="EU44" s="24"/>
      <c r="EV44" s="24"/>
      <c r="EW44" s="24"/>
      <c r="EX44" s="74" t="s">
        <v>78</v>
      </c>
      <c r="EY44" s="24"/>
      <c r="EZ44" s="75" t="s">
        <v>79</v>
      </c>
      <c r="FC44" s="24"/>
      <c r="FD44" s="24"/>
      <c r="FE44" s="24"/>
      <c r="FF44" s="74" t="s">
        <v>78</v>
      </c>
      <c r="FG44" s="24"/>
      <c r="FH44" s="75" t="s">
        <v>79</v>
      </c>
      <c r="FJ44" s="45"/>
      <c r="FK44" s="24"/>
      <c r="FL44" s="24"/>
      <c r="FM44" s="24"/>
      <c r="FN44" s="74" t="s">
        <v>78</v>
      </c>
      <c r="FO44" s="24"/>
      <c r="FP44" s="75" t="s">
        <v>79</v>
      </c>
      <c r="FR44" s="45"/>
      <c r="FS44" s="24"/>
      <c r="FT44" s="24"/>
      <c r="FU44" s="24"/>
      <c r="FV44" s="74" t="s">
        <v>78</v>
      </c>
      <c r="FW44" s="24"/>
      <c r="FX44" s="75" t="s">
        <v>79</v>
      </c>
      <c r="FZ44" s="45"/>
      <c r="GA44" s="24"/>
      <c r="GB44" s="24"/>
      <c r="GC44" s="24"/>
      <c r="GD44" s="74" t="s">
        <v>78</v>
      </c>
      <c r="GE44" s="24"/>
      <c r="GF44" s="75" t="s">
        <v>79</v>
      </c>
      <c r="GH44" s="45"/>
      <c r="GI44" s="24"/>
      <c r="GJ44" s="24"/>
      <c r="GK44" s="24"/>
      <c r="GL44" s="74" t="s">
        <v>78</v>
      </c>
      <c r="GM44" s="24"/>
      <c r="GN44" s="75" t="s">
        <v>79</v>
      </c>
      <c r="GP44" s="45"/>
      <c r="GQ44" s="45"/>
      <c r="GR44" s="45"/>
      <c r="GS44" s="45"/>
      <c r="GT44" s="99"/>
      <c r="GU44" s="45"/>
      <c r="GV44" s="99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</row>
    <row r="45" spans="1:225" ht="14.25">
      <c r="A45" s="139"/>
      <c r="B45" s="139"/>
      <c r="C45" s="139"/>
      <c r="D45" s="139"/>
      <c r="E45" s="139"/>
      <c r="F45" s="139"/>
      <c r="G45" s="139"/>
      <c r="H45" s="139"/>
      <c r="I45" s="139"/>
      <c r="K45" s="23"/>
      <c r="L45" s="23"/>
      <c r="M45" s="23"/>
      <c r="N45" s="23"/>
      <c r="O45" s="23"/>
      <c r="P45" s="23" t="s">
        <v>140</v>
      </c>
      <c r="Q45" s="23"/>
      <c r="R45" s="23"/>
      <c r="S45" s="23"/>
      <c r="T45" s="23"/>
      <c r="U45" s="23"/>
      <c r="Z45" s="74" t="s">
        <v>81</v>
      </c>
      <c r="AA45" s="25" t="s">
        <v>82</v>
      </c>
      <c r="AB45" s="75" t="s">
        <v>83</v>
      </c>
      <c r="AC45" s="24"/>
      <c r="AD45" s="24"/>
      <c r="AE45" s="24"/>
      <c r="AF45" s="24"/>
      <c r="AG45" s="24"/>
      <c r="AH45" s="74" t="s">
        <v>81</v>
      </c>
      <c r="AI45" s="25" t="s">
        <v>82</v>
      </c>
      <c r="AJ45" s="75" t="s">
        <v>83</v>
      </c>
      <c r="AM45" s="24"/>
      <c r="AN45" s="24"/>
      <c r="AO45" s="24"/>
      <c r="AP45" s="74" t="s">
        <v>81</v>
      </c>
      <c r="AQ45" s="25" t="s">
        <v>82</v>
      </c>
      <c r="AR45" s="75" t="s">
        <v>83</v>
      </c>
      <c r="AU45" s="24"/>
      <c r="AV45" s="24"/>
      <c r="AW45" s="24"/>
      <c r="AX45" s="74" t="s">
        <v>81</v>
      </c>
      <c r="AY45" s="25" t="s">
        <v>82</v>
      </c>
      <c r="AZ45" s="75" t="s">
        <v>83</v>
      </c>
      <c r="BC45" s="24"/>
      <c r="BD45" s="24"/>
      <c r="BE45" s="24"/>
      <c r="BF45" s="74" t="s">
        <v>81</v>
      </c>
      <c r="BG45" s="25" t="s">
        <v>82</v>
      </c>
      <c r="BH45" s="75" t="s">
        <v>83</v>
      </c>
      <c r="BK45" s="24"/>
      <c r="BL45" s="24"/>
      <c r="BM45" s="24"/>
      <c r="BN45" s="74" t="s">
        <v>81</v>
      </c>
      <c r="BO45" s="25" t="s">
        <v>82</v>
      </c>
      <c r="BP45" s="75" t="s">
        <v>83</v>
      </c>
      <c r="BS45" s="24"/>
      <c r="BT45" s="24"/>
      <c r="BU45" s="24"/>
      <c r="BV45" s="74" t="s">
        <v>81</v>
      </c>
      <c r="BW45" s="25" t="s">
        <v>82</v>
      </c>
      <c r="BX45" s="75" t="s">
        <v>83</v>
      </c>
      <c r="CA45" s="24"/>
      <c r="CB45" s="24"/>
      <c r="CC45" s="24"/>
      <c r="CD45" s="74" t="s">
        <v>81</v>
      </c>
      <c r="CE45" s="25" t="s">
        <v>82</v>
      </c>
      <c r="CF45" s="75" t="s">
        <v>83</v>
      </c>
      <c r="CI45" s="24"/>
      <c r="CJ45" s="24"/>
      <c r="CK45" s="24"/>
      <c r="CL45" s="74" t="s">
        <v>81</v>
      </c>
      <c r="CM45" s="25" t="s">
        <v>82</v>
      </c>
      <c r="CN45" s="75" t="s">
        <v>83</v>
      </c>
      <c r="CQ45" s="24"/>
      <c r="CR45" s="24"/>
      <c r="CS45" s="24"/>
      <c r="CT45" s="74" t="s">
        <v>81</v>
      </c>
      <c r="CU45" s="25" t="s">
        <v>82</v>
      </c>
      <c r="CV45" s="75" t="s">
        <v>83</v>
      </c>
      <c r="CY45" s="24"/>
      <c r="CZ45" s="24"/>
      <c r="DA45" s="24"/>
      <c r="DB45" s="74" t="s">
        <v>81</v>
      </c>
      <c r="DC45" s="25" t="s">
        <v>82</v>
      </c>
      <c r="DD45" s="75" t="s">
        <v>83</v>
      </c>
      <c r="DG45" s="24"/>
      <c r="DH45" s="24"/>
      <c r="DI45" s="24"/>
      <c r="DJ45" s="74" t="s">
        <v>81</v>
      </c>
      <c r="DK45" s="25" t="s">
        <v>82</v>
      </c>
      <c r="DL45" s="75" t="s">
        <v>83</v>
      </c>
      <c r="DO45" s="24"/>
      <c r="DP45" s="24"/>
      <c r="DQ45" s="24"/>
      <c r="DR45" s="74" t="s">
        <v>81</v>
      </c>
      <c r="DS45" s="25" t="s">
        <v>82</v>
      </c>
      <c r="DT45" s="75" t="s">
        <v>83</v>
      </c>
      <c r="DW45" s="24"/>
      <c r="DX45" s="24"/>
      <c r="DY45" s="24"/>
      <c r="DZ45" s="74" t="s">
        <v>81</v>
      </c>
      <c r="EA45" s="25" t="s">
        <v>82</v>
      </c>
      <c r="EB45" s="75" t="s">
        <v>83</v>
      </c>
      <c r="EE45" s="24"/>
      <c r="EF45" s="24"/>
      <c r="EG45" s="24"/>
      <c r="EH45" s="74" t="s">
        <v>81</v>
      </c>
      <c r="EI45" s="25" t="s">
        <v>82</v>
      </c>
      <c r="EJ45" s="75" t="s">
        <v>83</v>
      </c>
      <c r="EM45" s="24"/>
      <c r="EN45" s="24"/>
      <c r="EO45" s="24"/>
      <c r="EP45" s="74" t="s">
        <v>81</v>
      </c>
      <c r="EQ45" s="25" t="s">
        <v>82</v>
      </c>
      <c r="ER45" s="75" t="s">
        <v>83</v>
      </c>
      <c r="EU45" s="24"/>
      <c r="EV45" s="24"/>
      <c r="EW45" s="24"/>
      <c r="EX45" s="74" t="s">
        <v>81</v>
      </c>
      <c r="EY45" s="25" t="s">
        <v>82</v>
      </c>
      <c r="EZ45" s="75" t="s">
        <v>83</v>
      </c>
      <c r="FC45" s="24"/>
      <c r="FD45" s="24"/>
      <c r="FE45" s="24"/>
      <c r="FF45" s="74" t="s">
        <v>81</v>
      </c>
      <c r="FG45" s="25" t="s">
        <v>82</v>
      </c>
      <c r="FH45" s="75" t="s">
        <v>83</v>
      </c>
      <c r="FJ45" s="45"/>
      <c r="FK45" s="24"/>
      <c r="FL45" s="24"/>
      <c r="FM45" s="24"/>
      <c r="FN45" s="74" t="s">
        <v>81</v>
      </c>
      <c r="FO45" s="25" t="s">
        <v>82</v>
      </c>
      <c r="FP45" s="75" t="s">
        <v>83</v>
      </c>
      <c r="FR45" s="45"/>
      <c r="FS45" s="24"/>
      <c r="FT45" s="24"/>
      <c r="FU45" s="24"/>
      <c r="FV45" s="74" t="s">
        <v>81</v>
      </c>
      <c r="FW45" s="25" t="s">
        <v>82</v>
      </c>
      <c r="FX45" s="75" t="s">
        <v>83</v>
      </c>
      <c r="FZ45" s="45"/>
      <c r="GA45" s="24"/>
      <c r="GB45" s="24"/>
      <c r="GC45" s="24"/>
      <c r="GD45" s="74" t="s">
        <v>81</v>
      </c>
      <c r="GE45" s="25" t="s">
        <v>82</v>
      </c>
      <c r="GF45" s="75" t="s">
        <v>83</v>
      </c>
      <c r="GH45" s="45"/>
      <c r="GI45" s="24"/>
      <c r="GJ45" s="24"/>
      <c r="GK45" s="24"/>
      <c r="GL45" s="74" t="s">
        <v>81</v>
      </c>
      <c r="GM45" s="25" t="s">
        <v>82</v>
      </c>
      <c r="GN45" s="75" t="s">
        <v>83</v>
      </c>
      <c r="GP45" s="45"/>
      <c r="GQ45" s="45"/>
      <c r="GR45" s="45"/>
      <c r="GS45" s="45"/>
      <c r="GT45" s="99"/>
      <c r="GU45" s="99"/>
      <c r="GV45" s="99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</row>
    <row r="46" spans="8:225" ht="14.25">
      <c r="H46" s="92"/>
      <c r="I46" s="92"/>
      <c r="K46" s="23" t="s">
        <v>141</v>
      </c>
      <c r="L46" s="23"/>
      <c r="M46" s="23"/>
      <c r="N46" s="23"/>
      <c r="O46" s="23"/>
      <c r="P46" s="19" t="s">
        <v>142</v>
      </c>
      <c r="Q46" s="20"/>
      <c r="R46" s="20"/>
      <c r="S46" s="20"/>
      <c r="T46" s="22"/>
      <c r="U46" s="23"/>
      <c r="Z46" s="74" t="s">
        <v>84</v>
      </c>
      <c r="AA46" s="25" t="s">
        <v>85</v>
      </c>
      <c r="AB46" s="75" t="s">
        <v>61</v>
      </c>
      <c r="AC46" s="24"/>
      <c r="AD46" s="24"/>
      <c r="AE46" s="24"/>
      <c r="AF46" s="31"/>
      <c r="AG46" s="31"/>
      <c r="AH46" s="74" t="s">
        <v>84</v>
      </c>
      <c r="AI46" s="25" t="s">
        <v>85</v>
      </c>
      <c r="AJ46" s="75" t="s">
        <v>61</v>
      </c>
      <c r="AM46" s="24"/>
      <c r="AN46" s="31"/>
      <c r="AO46" s="31"/>
      <c r="AP46" s="74" t="s">
        <v>84</v>
      </c>
      <c r="AQ46" s="25" t="s">
        <v>85</v>
      </c>
      <c r="AR46" s="75" t="s">
        <v>61</v>
      </c>
      <c r="AU46" s="24"/>
      <c r="AV46" s="31"/>
      <c r="AW46" s="31"/>
      <c r="AX46" s="74" t="s">
        <v>84</v>
      </c>
      <c r="AY46" s="25" t="s">
        <v>85</v>
      </c>
      <c r="AZ46" s="75" t="s">
        <v>61</v>
      </c>
      <c r="BC46" s="24"/>
      <c r="BD46" s="31"/>
      <c r="BE46" s="31"/>
      <c r="BF46" s="74" t="s">
        <v>84</v>
      </c>
      <c r="BG46" s="25" t="s">
        <v>85</v>
      </c>
      <c r="BH46" s="75" t="s">
        <v>61</v>
      </c>
      <c r="BK46" s="24"/>
      <c r="BL46" s="31"/>
      <c r="BM46" s="31"/>
      <c r="BN46" s="74" t="s">
        <v>84</v>
      </c>
      <c r="BO46" s="25" t="s">
        <v>85</v>
      </c>
      <c r="BP46" s="75" t="s">
        <v>61</v>
      </c>
      <c r="BS46" s="24"/>
      <c r="BT46" s="31"/>
      <c r="BU46" s="31"/>
      <c r="BV46" s="74" t="s">
        <v>84</v>
      </c>
      <c r="BW46" s="25" t="s">
        <v>85</v>
      </c>
      <c r="BX46" s="75" t="s">
        <v>61</v>
      </c>
      <c r="CA46" s="24"/>
      <c r="CB46" s="31"/>
      <c r="CC46" s="31"/>
      <c r="CD46" s="74" t="s">
        <v>84</v>
      </c>
      <c r="CE46" s="25" t="s">
        <v>85</v>
      </c>
      <c r="CF46" s="75" t="s">
        <v>61</v>
      </c>
      <c r="CI46" s="24"/>
      <c r="CJ46" s="31"/>
      <c r="CK46" s="31"/>
      <c r="CL46" s="74" t="s">
        <v>84</v>
      </c>
      <c r="CM46" s="25" t="s">
        <v>85</v>
      </c>
      <c r="CN46" s="75" t="s">
        <v>61</v>
      </c>
      <c r="CQ46" s="24"/>
      <c r="CR46" s="31"/>
      <c r="CS46" s="31"/>
      <c r="CT46" s="74" t="s">
        <v>84</v>
      </c>
      <c r="CU46" s="25" t="s">
        <v>85</v>
      </c>
      <c r="CV46" s="75" t="s">
        <v>61</v>
      </c>
      <c r="CY46" s="24"/>
      <c r="CZ46" s="31"/>
      <c r="DA46" s="31"/>
      <c r="DB46" s="74" t="s">
        <v>84</v>
      </c>
      <c r="DC46" s="25" t="s">
        <v>85</v>
      </c>
      <c r="DD46" s="75" t="s">
        <v>61</v>
      </c>
      <c r="DG46" s="24"/>
      <c r="DH46" s="31"/>
      <c r="DI46" s="31"/>
      <c r="DJ46" s="74" t="s">
        <v>84</v>
      </c>
      <c r="DK46" s="25" t="s">
        <v>85</v>
      </c>
      <c r="DL46" s="75" t="s">
        <v>61</v>
      </c>
      <c r="DO46" s="24"/>
      <c r="DP46" s="31"/>
      <c r="DQ46" s="31"/>
      <c r="DR46" s="74" t="s">
        <v>84</v>
      </c>
      <c r="DS46" s="25" t="s">
        <v>85</v>
      </c>
      <c r="DT46" s="75" t="s">
        <v>61</v>
      </c>
      <c r="DW46" s="24"/>
      <c r="DX46" s="31"/>
      <c r="DY46" s="31"/>
      <c r="DZ46" s="74" t="s">
        <v>84</v>
      </c>
      <c r="EA46" s="25" t="s">
        <v>85</v>
      </c>
      <c r="EB46" s="75" t="s">
        <v>61</v>
      </c>
      <c r="EE46" s="24"/>
      <c r="EF46" s="31"/>
      <c r="EG46" s="31"/>
      <c r="EH46" s="74" t="s">
        <v>84</v>
      </c>
      <c r="EI46" s="25" t="s">
        <v>85</v>
      </c>
      <c r="EJ46" s="75" t="s">
        <v>61</v>
      </c>
      <c r="EM46" s="24"/>
      <c r="EN46" s="31"/>
      <c r="EO46" s="31"/>
      <c r="EP46" s="74" t="s">
        <v>84</v>
      </c>
      <c r="EQ46" s="25" t="s">
        <v>85</v>
      </c>
      <c r="ER46" s="75" t="s">
        <v>61</v>
      </c>
      <c r="EU46" s="24"/>
      <c r="EV46" s="31"/>
      <c r="EW46" s="31"/>
      <c r="EX46" s="74" t="s">
        <v>84</v>
      </c>
      <c r="EY46" s="25" t="s">
        <v>85</v>
      </c>
      <c r="EZ46" s="75" t="s">
        <v>61</v>
      </c>
      <c r="FC46" s="24"/>
      <c r="FD46" s="31"/>
      <c r="FE46" s="31"/>
      <c r="FF46" s="74" t="s">
        <v>84</v>
      </c>
      <c r="FG46" s="25" t="s">
        <v>85</v>
      </c>
      <c r="FH46" s="75" t="s">
        <v>61</v>
      </c>
      <c r="FJ46" s="45"/>
      <c r="FK46" s="24"/>
      <c r="FL46" s="31"/>
      <c r="FM46" s="31"/>
      <c r="FN46" s="74" t="s">
        <v>84</v>
      </c>
      <c r="FO46" s="25" t="s">
        <v>85</v>
      </c>
      <c r="FP46" s="75" t="s">
        <v>61</v>
      </c>
      <c r="FR46" s="45"/>
      <c r="FS46" s="24"/>
      <c r="FT46" s="31"/>
      <c r="FU46" s="31"/>
      <c r="FV46" s="74" t="s">
        <v>84</v>
      </c>
      <c r="FW46" s="25" t="s">
        <v>85</v>
      </c>
      <c r="FX46" s="75" t="s">
        <v>61</v>
      </c>
      <c r="FZ46" s="45"/>
      <c r="GA46" s="24"/>
      <c r="GB46" s="31"/>
      <c r="GC46" s="31"/>
      <c r="GD46" s="74" t="s">
        <v>84</v>
      </c>
      <c r="GE46" s="25" t="s">
        <v>85</v>
      </c>
      <c r="GF46" s="75" t="s">
        <v>61</v>
      </c>
      <c r="GH46" s="45"/>
      <c r="GI46" s="24"/>
      <c r="GJ46" s="31"/>
      <c r="GK46" s="31"/>
      <c r="GL46" s="74" t="s">
        <v>84</v>
      </c>
      <c r="GM46" s="25" t="s">
        <v>85</v>
      </c>
      <c r="GN46" s="75" t="s">
        <v>61</v>
      </c>
      <c r="GP46" s="45"/>
      <c r="GQ46" s="45"/>
      <c r="GR46" s="95"/>
      <c r="GS46" s="95"/>
      <c r="GT46" s="99"/>
      <c r="GU46" s="99"/>
      <c r="GV46" s="99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</row>
    <row r="47" spans="1:225" ht="16.5" thickBot="1">
      <c r="A47" s="158" t="s">
        <v>288</v>
      </c>
      <c r="B47" s="23"/>
      <c r="C47" s="178"/>
      <c r="D47" s="179"/>
      <c r="E47" s="158"/>
      <c r="F47" s="23"/>
      <c r="G47" s="181" t="str">
        <f>IF($C$44&gt;$D$30,"No buffer dimensions are shown"," ")</f>
        <v>No buffer dimensions are shown</v>
      </c>
      <c r="H47" s="23"/>
      <c r="I47" s="23"/>
      <c r="K47" s="19" t="s">
        <v>143</v>
      </c>
      <c r="L47" s="20"/>
      <c r="M47" s="30" t="s">
        <v>144</v>
      </c>
      <c r="N47" s="22"/>
      <c r="O47" s="23"/>
      <c r="P47" s="32"/>
      <c r="Q47" s="34" t="s">
        <v>145</v>
      </c>
      <c r="R47" s="34" t="s">
        <v>146</v>
      </c>
      <c r="S47" s="34"/>
      <c r="T47" s="35"/>
      <c r="U47" s="23"/>
      <c r="Z47" s="79"/>
      <c r="AA47" s="24"/>
      <c r="AB47" s="80"/>
      <c r="AC47" s="24"/>
      <c r="AD47" s="24"/>
      <c r="AE47" s="24"/>
      <c r="AF47" s="24"/>
      <c r="AG47" s="24"/>
      <c r="AH47" s="79"/>
      <c r="AI47" s="24"/>
      <c r="AJ47" s="80"/>
      <c r="AM47" s="24"/>
      <c r="AN47" s="24"/>
      <c r="AO47" s="24"/>
      <c r="AP47" s="79"/>
      <c r="AQ47" s="24"/>
      <c r="AR47" s="80"/>
      <c r="AU47" s="24"/>
      <c r="AV47" s="24"/>
      <c r="AW47" s="24"/>
      <c r="AX47" s="79"/>
      <c r="AY47" s="24"/>
      <c r="AZ47" s="80"/>
      <c r="BC47" s="24"/>
      <c r="BD47" s="24"/>
      <c r="BE47" s="24"/>
      <c r="BF47" s="79"/>
      <c r="BG47" s="24"/>
      <c r="BH47" s="80"/>
      <c r="BK47" s="24"/>
      <c r="BL47" s="24"/>
      <c r="BM47" s="24"/>
      <c r="BN47" s="79"/>
      <c r="BO47" s="24"/>
      <c r="BP47" s="80"/>
      <c r="BS47" s="24"/>
      <c r="BT47" s="24"/>
      <c r="BU47" s="24"/>
      <c r="BV47" s="79"/>
      <c r="BW47" s="24"/>
      <c r="BX47" s="80"/>
      <c r="CA47" s="24"/>
      <c r="CB47" s="24"/>
      <c r="CC47" s="24"/>
      <c r="CD47" s="79"/>
      <c r="CE47" s="24"/>
      <c r="CF47" s="80"/>
      <c r="CI47" s="24"/>
      <c r="CJ47" s="24"/>
      <c r="CK47" s="24"/>
      <c r="CL47" s="79"/>
      <c r="CM47" s="24"/>
      <c r="CN47" s="80"/>
      <c r="CQ47" s="24"/>
      <c r="CR47" s="24"/>
      <c r="CS47" s="24"/>
      <c r="CT47" s="79"/>
      <c r="CU47" s="24"/>
      <c r="CV47" s="80"/>
      <c r="CY47" s="24"/>
      <c r="CZ47" s="24"/>
      <c r="DA47" s="24"/>
      <c r="DB47" s="79"/>
      <c r="DC47" s="24"/>
      <c r="DD47" s="80"/>
      <c r="DG47" s="24"/>
      <c r="DH47" s="24"/>
      <c r="DI47" s="24"/>
      <c r="DJ47" s="79"/>
      <c r="DK47" s="24"/>
      <c r="DL47" s="80"/>
      <c r="DO47" s="24"/>
      <c r="DP47" s="24"/>
      <c r="DQ47" s="24"/>
      <c r="DR47" s="79"/>
      <c r="DS47" s="24"/>
      <c r="DT47" s="80"/>
      <c r="DW47" s="24"/>
      <c r="DX47" s="24"/>
      <c r="DY47" s="24"/>
      <c r="DZ47" s="79"/>
      <c r="EA47" s="24"/>
      <c r="EB47" s="80"/>
      <c r="EE47" s="24"/>
      <c r="EF47" s="24"/>
      <c r="EG47" s="24"/>
      <c r="EH47" s="79"/>
      <c r="EI47" s="24"/>
      <c r="EJ47" s="80"/>
      <c r="EM47" s="24"/>
      <c r="EN47" s="24"/>
      <c r="EO47" s="24"/>
      <c r="EP47" s="79"/>
      <c r="EQ47" s="24"/>
      <c r="ER47" s="80"/>
      <c r="EU47" s="24"/>
      <c r="EV47" s="24"/>
      <c r="EW47" s="24"/>
      <c r="EX47" s="79"/>
      <c r="EY47" s="24"/>
      <c r="EZ47" s="80"/>
      <c r="FC47" s="24"/>
      <c r="FD47" s="24"/>
      <c r="FE47" s="24"/>
      <c r="FF47" s="79"/>
      <c r="FG47" s="24"/>
      <c r="FH47" s="80"/>
      <c r="FJ47" s="45"/>
      <c r="FK47" s="24"/>
      <c r="FL47" s="24"/>
      <c r="FM47" s="24"/>
      <c r="FN47" s="79"/>
      <c r="FO47" s="24"/>
      <c r="FP47" s="80"/>
      <c r="FR47" s="45"/>
      <c r="FS47" s="24"/>
      <c r="FT47" s="24"/>
      <c r="FU47" s="24"/>
      <c r="FV47" s="79"/>
      <c r="FW47" s="24"/>
      <c r="FX47" s="80"/>
      <c r="FZ47" s="45"/>
      <c r="GA47" s="24"/>
      <c r="GB47" s="24"/>
      <c r="GC47" s="24"/>
      <c r="GD47" s="79"/>
      <c r="GE47" s="24"/>
      <c r="GF47" s="80"/>
      <c r="GH47" s="45"/>
      <c r="GI47" s="24"/>
      <c r="GJ47" s="24"/>
      <c r="GK47" s="24"/>
      <c r="GL47" s="79"/>
      <c r="GM47" s="24"/>
      <c r="GN47" s="80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</row>
    <row r="48" spans="1:225" ht="18">
      <c r="A48" s="157"/>
      <c r="B48" s="23"/>
      <c r="C48" s="160"/>
      <c r="D48" s="193" t="s">
        <v>289</v>
      </c>
      <c r="E48" s="194" t="str">
        <f>IF(C44&lt;D30,D35," ")</f>
        <v> </v>
      </c>
      <c r="F48" s="195" t="s">
        <v>114</v>
      </c>
      <c r="G48" s="181" t="str">
        <f>IF($C$44&gt;$D$30,"because the P output is too high."," ")</f>
        <v>because the P output is too high.</v>
      </c>
      <c r="H48" s="23"/>
      <c r="I48" s="23"/>
      <c r="K48" s="32" t="s">
        <v>147</v>
      </c>
      <c r="L48" s="34"/>
      <c r="M48" s="71" t="s">
        <v>148</v>
      </c>
      <c r="N48" s="35"/>
      <c r="O48" s="23"/>
      <c r="P48" s="32"/>
      <c r="Q48" s="34" t="e">
        <f>IF(E71&lt;&gt;0,LOG10(M51),0)</f>
        <v>#DIV/0!</v>
      </c>
      <c r="R48" s="49" t="e">
        <f>50.5*Q48-49.3</f>
        <v>#DIV/0!</v>
      </c>
      <c r="S48" s="34"/>
      <c r="T48" s="35"/>
      <c r="U48" s="23"/>
      <c r="W48" s="24"/>
      <c r="X48" s="24"/>
      <c r="Z48" s="81" t="e">
        <f>($O$30*0.85)*AC39*0.227</f>
        <v>#DIV/0!</v>
      </c>
      <c r="AA48" s="66" t="e">
        <f>$K$56*$L$56</f>
        <v>#DIV/0!</v>
      </c>
      <c r="AB48" s="82" t="e">
        <f>AC39*AA48*0.227</f>
        <v>#N/A</v>
      </c>
      <c r="AC48" s="24"/>
      <c r="AD48" s="24"/>
      <c r="AE48" s="24"/>
      <c r="AF48" s="24"/>
      <c r="AG48" s="24"/>
      <c r="AH48" s="81" t="e">
        <f>($O$30*0.85)*AK39*0.227</f>
        <v>#DIV/0!</v>
      </c>
      <c r="AI48" s="66" t="e">
        <f>$K$56*$L$56</f>
        <v>#DIV/0!</v>
      </c>
      <c r="AJ48" s="82" t="e">
        <f>AK39*AI48*0.227</f>
        <v>#N/A</v>
      </c>
      <c r="AM48" s="24"/>
      <c r="AN48" s="24"/>
      <c r="AO48" s="24"/>
      <c r="AP48" s="81" t="e">
        <f>($O$30*0.85)*AS39*0.227</f>
        <v>#DIV/0!</v>
      </c>
      <c r="AQ48" s="66" t="e">
        <f>$K$56*$L$56</f>
        <v>#DIV/0!</v>
      </c>
      <c r="AR48" s="82" t="e">
        <f>AS39*AQ48*0.227</f>
        <v>#N/A</v>
      </c>
      <c r="AU48" s="24"/>
      <c r="AV48" s="24"/>
      <c r="AW48" s="24"/>
      <c r="AX48" s="81" t="e">
        <f>($O$30*0.85)*BA39*0.227</f>
        <v>#DIV/0!</v>
      </c>
      <c r="AY48" s="66" t="e">
        <f>$K$56*$L$56</f>
        <v>#DIV/0!</v>
      </c>
      <c r="AZ48" s="82" t="e">
        <f>BA39*AY48*0.227</f>
        <v>#N/A</v>
      </c>
      <c r="BC48" s="24"/>
      <c r="BD48" s="24"/>
      <c r="BE48" s="24"/>
      <c r="BF48" s="81" t="e">
        <f>($O$30*0.85)*BI39*0.227</f>
        <v>#DIV/0!</v>
      </c>
      <c r="BG48" s="66" t="e">
        <f>$K$56*$L$56</f>
        <v>#DIV/0!</v>
      </c>
      <c r="BH48" s="82" t="e">
        <f>BI39*BG48*0.227</f>
        <v>#N/A</v>
      </c>
      <c r="BK48" s="24"/>
      <c r="BL48" s="24"/>
      <c r="BM48" s="24"/>
      <c r="BN48" s="81" t="e">
        <f>($O$30*0.85)*BQ39*0.227</f>
        <v>#DIV/0!</v>
      </c>
      <c r="BO48" s="66" t="e">
        <f>$K$56*$L$56</f>
        <v>#DIV/0!</v>
      </c>
      <c r="BP48" s="82" t="e">
        <f>BQ39*BO48*0.227</f>
        <v>#N/A</v>
      </c>
      <c r="BS48" s="24"/>
      <c r="BT48" s="24"/>
      <c r="BU48" s="24"/>
      <c r="BV48" s="81" t="e">
        <f>($O$30*0.85)*BY39*0.227</f>
        <v>#DIV/0!</v>
      </c>
      <c r="BW48" s="66" t="e">
        <f>$K$56*$L$56</f>
        <v>#DIV/0!</v>
      </c>
      <c r="BX48" s="82" t="e">
        <f>BY39*BW48*0.227</f>
        <v>#N/A</v>
      </c>
      <c r="CA48" s="24"/>
      <c r="CB48" s="24"/>
      <c r="CC48" s="24"/>
      <c r="CD48" s="81" t="e">
        <f>($O$30*0.85)*CG39*0.227</f>
        <v>#DIV/0!</v>
      </c>
      <c r="CE48" s="66" t="e">
        <f>$K$56*$L$56</f>
        <v>#DIV/0!</v>
      </c>
      <c r="CF48" s="82" t="e">
        <f>CG39*CE48*0.227</f>
        <v>#N/A</v>
      </c>
      <c r="CI48" s="24"/>
      <c r="CJ48" s="24"/>
      <c r="CK48" s="24"/>
      <c r="CL48" s="81" t="e">
        <f>($O$30*0.85)*CO39*0.227</f>
        <v>#DIV/0!</v>
      </c>
      <c r="CM48" s="66" t="e">
        <f>$K$56*$L$56</f>
        <v>#DIV/0!</v>
      </c>
      <c r="CN48" s="82" t="e">
        <f>CO39*CM48*0.227</f>
        <v>#N/A</v>
      </c>
      <c r="CQ48" s="24"/>
      <c r="CR48" s="24"/>
      <c r="CS48" s="24"/>
      <c r="CT48" s="81" t="e">
        <f>($O$30*0.85)*CW39*0.227</f>
        <v>#DIV/0!</v>
      </c>
      <c r="CU48" s="66" t="e">
        <f>$K$56*$L$56</f>
        <v>#DIV/0!</v>
      </c>
      <c r="CV48" s="82" t="e">
        <f>CW39*CU48*0.227</f>
        <v>#N/A</v>
      </c>
      <c r="CY48" s="24"/>
      <c r="CZ48" s="24"/>
      <c r="DA48" s="24"/>
      <c r="DB48" s="81" t="e">
        <f>($O$30*0.85)*DE39*0.227</f>
        <v>#DIV/0!</v>
      </c>
      <c r="DC48" s="66" t="e">
        <f>$K$56*$L$56</f>
        <v>#DIV/0!</v>
      </c>
      <c r="DD48" s="82" t="e">
        <f>DE39*DC48*0.227</f>
        <v>#N/A</v>
      </c>
      <c r="DG48" s="24"/>
      <c r="DH48" s="24"/>
      <c r="DI48" s="24"/>
      <c r="DJ48" s="81" t="e">
        <f>($O$30*0.85)*DM39*0.227</f>
        <v>#DIV/0!</v>
      </c>
      <c r="DK48" s="66" t="e">
        <f>$K$56*$L$56</f>
        <v>#DIV/0!</v>
      </c>
      <c r="DL48" s="82" t="e">
        <f>DM39*DK48*0.227</f>
        <v>#N/A</v>
      </c>
      <c r="DO48" s="24"/>
      <c r="DP48" s="24"/>
      <c r="DQ48" s="24"/>
      <c r="DR48" s="81" t="e">
        <f>($O$30*0.85)*DU39*0.227</f>
        <v>#DIV/0!</v>
      </c>
      <c r="DS48" s="66" t="e">
        <f>$K$56*$L$56</f>
        <v>#DIV/0!</v>
      </c>
      <c r="DT48" s="82" t="e">
        <f>DU39*DS48*0.227</f>
        <v>#N/A</v>
      </c>
      <c r="DW48" s="24"/>
      <c r="DX48" s="24"/>
      <c r="DY48" s="24"/>
      <c r="DZ48" s="81" t="e">
        <f>($O$30*0.85)*EC39*0.227</f>
        <v>#DIV/0!</v>
      </c>
      <c r="EA48" s="66" t="e">
        <f>$K$56*$L$56</f>
        <v>#DIV/0!</v>
      </c>
      <c r="EB48" s="82" t="e">
        <f>EC39*EA48*0.227</f>
        <v>#N/A</v>
      </c>
      <c r="EE48" s="24"/>
      <c r="EF48" s="24"/>
      <c r="EG48" s="24"/>
      <c r="EH48" s="81" t="e">
        <f>($O$30*0.85)*EK39*0.227</f>
        <v>#DIV/0!</v>
      </c>
      <c r="EI48" s="66" t="e">
        <f>$K$56*$L$56</f>
        <v>#DIV/0!</v>
      </c>
      <c r="EJ48" s="82" t="e">
        <f>EK39*EI48*0.227</f>
        <v>#N/A</v>
      </c>
      <c r="EM48" s="24"/>
      <c r="EN48" s="24"/>
      <c r="EO48" s="24"/>
      <c r="EP48" s="81" t="e">
        <f>($O$30*0.85)*ES39*0.227</f>
        <v>#DIV/0!</v>
      </c>
      <c r="EQ48" s="66" t="e">
        <f>$K$56*$L$56</f>
        <v>#DIV/0!</v>
      </c>
      <c r="ER48" s="82" t="e">
        <f>ES39*EQ48*0.227</f>
        <v>#N/A</v>
      </c>
      <c r="EU48" s="24"/>
      <c r="EV48" s="24"/>
      <c r="EW48" s="24"/>
      <c r="EX48" s="81" t="e">
        <f>($O$30*0.85)*FA39*0.227</f>
        <v>#DIV/0!</v>
      </c>
      <c r="EY48" s="66" t="e">
        <f>$K$56*$L$56</f>
        <v>#DIV/0!</v>
      </c>
      <c r="EZ48" s="82" t="e">
        <f>FA39*EY48*0.227</f>
        <v>#N/A</v>
      </c>
      <c r="FC48" s="24"/>
      <c r="FD48" s="24"/>
      <c r="FE48" s="24"/>
      <c r="FF48" s="81" t="e">
        <f>($O$30*0.85)*FI39*0.227</f>
        <v>#DIV/0!</v>
      </c>
      <c r="FG48" s="66" t="e">
        <f>$K$56*$L$56</f>
        <v>#DIV/0!</v>
      </c>
      <c r="FH48" s="82" t="e">
        <f>FI39*FG48*0.227</f>
        <v>#N/A</v>
      </c>
      <c r="FJ48" s="45"/>
      <c r="FK48" s="24"/>
      <c r="FL48" s="24"/>
      <c r="FM48" s="24"/>
      <c r="FN48" s="81" t="e">
        <f>($O$30*0.85)*FQ39*0.227</f>
        <v>#DIV/0!</v>
      </c>
      <c r="FO48" s="66" t="e">
        <f>$K$56*$L$56</f>
        <v>#DIV/0!</v>
      </c>
      <c r="FP48" s="82" t="e">
        <f>FQ39*FO48*0.227</f>
        <v>#N/A</v>
      </c>
      <c r="FR48" s="45"/>
      <c r="FS48" s="24"/>
      <c r="FT48" s="24"/>
      <c r="FU48" s="24"/>
      <c r="FV48" s="81" t="e">
        <f>($O$30*0.85)*FY39*0.227</f>
        <v>#DIV/0!</v>
      </c>
      <c r="FW48" s="66" t="e">
        <f>$K$56*$L$56</f>
        <v>#DIV/0!</v>
      </c>
      <c r="FX48" s="82" t="e">
        <f>FY39*FW48*0.227</f>
        <v>#N/A</v>
      </c>
      <c r="FZ48" s="45"/>
      <c r="GA48" s="24"/>
      <c r="GB48" s="24"/>
      <c r="GC48" s="24"/>
      <c r="GD48" s="81" t="e">
        <f>($O$30*0.85)*GG39*0.227</f>
        <v>#DIV/0!</v>
      </c>
      <c r="GE48" s="66" t="e">
        <f>$K$56*$L$56</f>
        <v>#DIV/0!</v>
      </c>
      <c r="GF48" s="82" t="e">
        <f>GG39*GE48*0.227</f>
        <v>#N/A</v>
      </c>
      <c r="GH48" s="45"/>
      <c r="GI48" s="24"/>
      <c r="GJ48" s="24"/>
      <c r="GK48" s="24"/>
      <c r="GL48" s="81" t="e">
        <f>($O$30*0.85)*GO39*0.227</f>
        <v>#DIV/0!</v>
      </c>
      <c r="GM48" s="66" t="e">
        <f>$K$56*$L$56</f>
        <v>#DIV/0!</v>
      </c>
      <c r="GN48" s="82" t="e">
        <f>GO39*GM48*0.227</f>
        <v>#N/A</v>
      </c>
      <c r="GP48" s="45"/>
      <c r="GQ48" s="45"/>
      <c r="GR48" s="45"/>
      <c r="GS48" s="45"/>
      <c r="GT48" s="95"/>
      <c r="GU48" s="95"/>
      <c r="GV48" s="9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</row>
    <row r="49" spans="1:225" ht="18">
      <c r="A49" s="159"/>
      <c r="B49" s="23"/>
      <c r="C49" s="33"/>
      <c r="D49" s="196" t="s">
        <v>290</v>
      </c>
      <c r="E49" s="180" t="str">
        <f>IF(C44&lt;D30,D36," ")</f>
        <v> </v>
      </c>
      <c r="F49" s="197" t="s">
        <v>114</v>
      </c>
      <c r="G49" s="23"/>
      <c r="H49" s="157"/>
      <c r="I49" s="23"/>
      <c r="K49" s="164" t="e">
        <f>E71</f>
        <v>#DIV/0!</v>
      </c>
      <c r="L49" s="34">
        <f>U41</f>
        <v>1</v>
      </c>
      <c r="M49" s="34" t="e">
        <f>K49/L49</f>
        <v>#DIV/0!</v>
      </c>
      <c r="N49" s="35"/>
      <c r="O49" s="23"/>
      <c r="P49" s="32"/>
      <c r="Q49" s="34"/>
      <c r="R49" s="49" t="e">
        <f>IF(R48&gt;100,100,R48)</f>
        <v>#DIV/0!</v>
      </c>
      <c r="S49" s="34" t="s">
        <v>149</v>
      </c>
      <c r="T49" s="35"/>
      <c r="U49" s="23"/>
      <c r="W49" s="24"/>
      <c r="X49" s="24"/>
      <c r="Y49" s="24"/>
      <c r="Z49" s="83" t="e">
        <f>Z48</f>
        <v>#DIV/0!</v>
      </c>
      <c r="AB49" s="24"/>
      <c r="AC49" s="24"/>
      <c r="AD49" s="24"/>
      <c r="AE49" s="31"/>
      <c r="AF49" s="31"/>
      <c r="AG49" s="24"/>
      <c r="AH49" s="31" t="e">
        <f>Z49+AH48</f>
        <v>#DIV/0!</v>
      </c>
      <c r="AI49" s="24"/>
      <c r="AM49" s="31"/>
      <c r="AN49" s="31"/>
      <c r="AO49" s="24"/>
      <c r="AP49" s="31" t="e">
        <f>AH49+AP48</f>
        <v>#DIV/0!</v>
      </c>
      <c r="AQ49" s="24"/>
      <c r="AU49" s="31"/>
      <c r="AV49" s="31"/>
      <c r="AW49" s="24"/>
      <c r="AX49" s="31" t="e">
        <f>AP49+AX48</f>
        <v>#DIV/0!</v>
      </c>
      <c r="AY49" s="24"/>
      <c r="BC49" s="31"/>
      <c r="BD49" s="31"/>
      <c r="BE49" s="24"/>
      <c r="BF49" s="31" t="e">
        <f>AX49+BF48</f>
        <v>#DIV/0!</v>
      </c>
      <c r="BG49" s="24"/>
      <c r="BK49" s="31"/>
      <c r="BL49" s="31"/>
      <c r="BM49" s="24"/>
      <c r="BN49" s="31" t="e">
        <f>BF49+BN48</f>
        <v>#DIV/0!</v>
      </c>
      <c r="BO49" s="24"/>
      <c r="BS49" s="31"/>
      <c r="BT49" s="31"/>
      <c r="BU49" s="24"/>
      <c r="BV49" s="31" t="e">
        <f>BN49+BV48</f>
        <v>#DIV/0!</v>
      </c>
      <c r="BW49" s="24"/>
      <c r="CA49" s="31"/>
      <c r="CB49" s="31"/>
      <c r="CC49" s="24"/>
      <c r="CD49" s="31" t="e">
        <f>BV49+CD48</f>
        <v>#DIV/0!</v>
      </c>
      <c r="CE49" s="24"/>
      <c r="CI49" s="31"/>
      <c r="CJ49" s="31"/>
      <c r="CK49" s="24"/>
      <c r="CL49" s="31" t="e">
        <f>CD49+CL48</f>
        <v>#DIV/0!</v>
      </c>
      <c r="CM49" s="24"/>
      <c r="CQ49" s="31"/>
      <c r="CR49" s="31"/>
      <c r="CS49" s="24"/>
      <c r="CT49" s="31" t="e">
        <f>CL49+CT48</f>
        <v>#DIV/0!</v>
      </c>
      <c r="CU49" s="24"/>
      <c r="CY49" s="31"/>
      <c r="CZ49" s="31"/>
      <c r="DA49" s="24"/>
      <c r="DB49" s="31" t="e">
        <f>CT49+DB48</f>
        <v>#DIV/0!</v>
      </c>
      <c r="DC49" s="24"/>
      <c r="DG49" s="31"/>
      <c r="DH49" s="31"/>
      <c r="DI49" s="24"/>
      <c r="DJ49" s="31" t="e">
        <f>DB49+DJ48</f>
        <v>#DIV/0!</v>
      </c>
      <c r="DK49" s="24"/>
      <c r="DO49" s="31"/>
      <c r="DP49" s="31"/>
      <c r="DQ49" s="24"/>
      <c r="DR49" s="31" t="e">
        <f>DJ49+DR48</f>
        <v>#DIV/0!</v>
      </c>
      <c r="DS49" s="24"/>
      <c r="DW49" s="31"/>
      <c r="DX49" s="31"/>
      <c r="DY49" s="24"/>
      <c r="DZ49" s="31" t="e">
        <f>DR49+DZ48</f>
        <v>#DIV/0!</v>
      </c>
      <c r="EA49" s="24"/>
      <c r="EE49" s="31"/>
      <c r="EF49" s="31"/>
      <c r="EG49" s="24"/>
      <c r="EH49" s="31" t="e">
        <f>DZ49+EH48</f>
        <v>#DIV/0!</v>
      </c>
      <c r="EI49" s="24"/>
      <c r="EM49" s="31"/>
      <c r="EN49" s="31"/>
      <c r="EO49" s="24"/>
      <c r="EP49" s="31" t="e">
        <f>EH49+EP48</f>
        <v>#DIV/0!</v>
      </c>
      <c r="EQ49" s="24"/>
      <c r="EU49" s="31"/>
      <c r="EV49" s="31"/>
      <c r="EW49" s="24"/>
      <c r="EX49" s="31" t="e">
        <f>EP49+EX48</f>
        <v>#DIV/0!</v>
      </c>
      <c r="EY49" s="24"/>
      <c r="FC49" s="31"/>
      <c r="FD49" s="31"/>
      <c r="FE49" s="24"/>
      <c r="FF49" s="31" t="e">
        <f>EX49+FF48</f>
        <v>#DIV/0!</v>
      </c>
      <c r="FG49" s="24"/>
      <c r="FJ49" s="45"/>
      <c r="FK49" s="31"/>
      <c r="FL49" s="31"/>
      <c r="FM49" s="24"/>
      <c r="FN49" s="31" t="e">
        <f>FF49+FN48</f>
        <v>#DIV/0!</v>
      </c>
      <c r="FO49" s="24"/>
      <c r="FR49" s="45"/>
      <c r="FS49" s="31"/>
      <c r="FT49" s="31"/>
      <c r="FU49" s="24"/>
      <c r="FV49" s="31" t="e">
        <f>FN49+FV48</f>
        <v>#DIV/0!</v>
      </c>
      <c r="FW49" s="24"/>
      <c r="FZ49" s="45"/>
      <c r="GA49" s="31"/>
      <c r="GB49" s="31"/>
      <c r="GC49" s="24"/>
      <c r="GD49" s="31" t="e">
        <f>FV49+GD48</f>
        <v>#DIV/0!</v>
      </c>
      <c r="GE49" s="24"/>
      <c r="GH49" s="45"/>
      <c r="GI49" s="31"/>
      <c r="GJ49" s="31"/>
      <c r="GK49" s="24"/>
      <c r="GL49" s="31" t="e">
        <f>GD49+GL48</f>
        <v>#DIV/0!</v>
      </c>
      <c r="GM49" s="24"/>
      <c r="GP49" s="45"/>
      <c r="GQ49" s="95"/>
      <c r="GR49" s="9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</row>
    <row r="50" spans="1:214" ht="18.75" thickBot="1">
      <c r="A50" s="157"/>
      <c r="B50" s="23"/>
      <c r="C50" s="33"/>
      <c r="D50" s="198" t="s">
        <v>303</v>
      </c>
      <c r="E50" s="199" t="str">
        <f>IF(C44&lt;D30,D39," ")</f>
        <v> </v>
      </c>
      <c r="F50" s="200" t="s">
        <v>266</v>
      </c>
      <c r="G50" s="23"/>
      <c r="H50" s="158"/>
      <c r="I50" s="23"/>
      <c r="K50" s="32">
        <f>D90</f>
        <v>0</v>
      </c>
      <c r="L50" s="34">
        <f>U43</f>
        <v>1</v>
      </c>
      <c r="M50" s="34">
        <f>K50/L50</f>
        <v>0</v>
      </c>
      <c r="N50" s="35"/>
      <c r="O50" s="23"/>
      <c r="P50" s="36"/>
      <c r="Q50" s="38"/>
      <c r="R50" s="61" t="e">
        <f>IF(R49&lt;0,0,R49)</f>
        <v>#DIV/0!</v>
      </c>
      <c r="S50" s="38" t="s">
        <v>150</v>
      </c>
      <c r="T50" s="39"/>
      <c r="U50" s="23"/>
      <c r="W50" s="24"/>
      <c r="X50" s="24"/>
      <c r="Y50" s="24"/>
      <c r="AB50" s="24"/>
      <c r="AC50" s="24"/>
      <c r="AD50" s="24"/>
      <c r="AE50" s="24"/>
      <c r="AF50" s="24"/>
      <c r="AG50" s="24"/>
      <c r="AH50" s="24"/>
      <c r="AI50" s="73" t="s">
        <v>91</v>
      </c>
      <c r="AJ50" s="83" t="e">
        <f>AB48+AJ48</f>
        <v>#N/A</v>
      </c>
      <c r="AK50" s="17" t="s">
        <v>92</v>
      </c>
      <c r="AM50" s="24"/>
      <c r="AN50" s="24"/>
      <c r="AO50" s="24"/>
      <c r="AP50" s="24"/>
      <c r="AQ50" s="73" t="s">
        <v>91</v>
      </c>
      <c r="AR50" s="83" t="e">
        <f>AJ50+AR48</f>
        <v>#N/A</v>
      </c>
      <c r="AS50" s="17" t="s">
        <v>92</v>
      </c>
      <c r="AU50" s="24"/>
      <c r="AV50" s="24"/>
      <c r="AW50" s="24"/>
      <c r="AX50" s="24"/>
      <c r="AY50" s="73" t="s">
        <v>91</v>
      </c>
      <c r="AZ50" s="83" t="e">
        <f>AR50+AZ48</f>
        <v>#N/A</v>
      </c>
      <c r="BA50" s="17" t="s">
        <v>92</v>
      </c>
      <c r="BC50" s="24"/>
      <c r="BD50" s="24"/>
      <c r="BE50" s="24"/>
      <c r="BF50" s="24"/>
      <c r="BG50" s="73" t="s">
        <v>91</v>
      </c>
      <c r="BH50" s="83" t="e">
        <f>AZ50+BH48</f>
        <v>#N/A</v>
      </c>
      <c r="BI50" s="17" t="s">
        <v>92</v>
      </c>
      <c r="BK50" s="24"/>
      <c r="BL50" s="24"/>
      <c r="BM50" s="24"/>
      <c r="BN50" s="24"/>
      <c r="BO50" s="73" t="s">
        <v>91</v>
      </c>
      <c r="BP50" s="83" t="e">
        <f>BH50+BP48</f>
        <v>#N/A</v>
      </c>
      <c r="BQ50" s="17" t="s">
        <v>92</v>
      </c>
      <c r="BS50" s="24"/>
      <c r="BT50" s="24"/>
      <c r="BU50" s="24"/>
      <c r="BV50" s="24"/>
      <c r="BW50" s="73" t="s">
        <v>91</v>
      </c>
      <c r="BX50" s="83" t="e">
        <f>BP50+BX48</f>
        <v>#N/A</v>
      </c>
      <c r="BY50" s="17" t="s">
        <v>92</v>
      </c>
      <c r="CA50" s="24"/>
      <c r="CB50" s="24"/>
      <c r="CC50" s="24"/>
      <c r="CD50" s="24"/>
      <c r="CE50" s="73" t="s">
        <v>91</v>
      </c>
      <c r="CF50" s="83" t="e">
        <f>BX50+CF48</f>
        <v>#N/A</v>
      </c>
      <c r="CG50" s="17" t="s">
        <v>92</v>
      </c>
      <c r="CI50" s="24"/>
      <c r="CJ50" s="24"/>
      <c r="CK50" s="24"/>
      <c r="CL50" s="24"/>
      <c r="CM50" s="73" t="s">
        <v>91</v>
      </c>
      <c r="CN50" s="83" t="e">
        <f>CF50+CN48</f>
        <v>#N/A</v>
      </c>
      <c r="CO50" s="17" t="s">
        <v>92</v>
      </c>
      <c r="CQ50" s="24"/>
      <c r="CR50" s="24"/>
      <c r="CS50" s="24"/>
      <c r="CT50" s="24"/>
      <c r="CU50" s="73" t="s">
        <v>91</v>
      </c>
      <c r="CV50" s="83" t="e">
        <f>CN50+CV48</f>
        <v>#N/A</v>
      </c>
      <c r="CW50" s="17" t="s">
        <v>92</v>
      </c>
      <c r="CY50" s="24"/>
      <c r="CZ50" s="24"/>
      <c r="DA50" s="24"/>
      <c r="DB50" s="24"/>
      <c r="DC50" s="73" t="s">
        <v>91</v>
      </c>
      <c r="DD50" s="83" t="e">
        <f>CV50+DD48</f>
        <v>#N/A</v>
      </c>
      <c r="DE50" s="17" t="s">
        <v>92</v>
      </c>
      <c r="DG50" s="24"/>
      <c r="DH50" s="24"/>
      <c r="DI50" s="24"/>
      <c r="DJ50" s="24"/>
      <c r="DK50" s="73" t="s">
        <v>91</v>
      </c>
      <c r="DL50" s="83" t="e">
        <f>DD50+DL48</f>
        <v>#N/A</v>
      </c>
      <c r="DM50" s="17" t="s">
        <v>92</v>
      </c>
      <c r="DO50" s="24"/>
      <c r="DP50" s="24"/>
      <c r="DQ50" s="24"/>
      <c r="DR50" s="24"/>
      <c r="DS50" s="73" t="s">
        <v>91</v>
      </c>
      <c r="DT50" s="83" t="e">
        <f>DL50+DT48</f>
        <v>#N/A</v>
      </c>
      <c r="DU50" s="17" t="s">
        <v>92</v>
      </c>
      <c r="DW50" s="24"/>
      <c r="DX50" s="24"/>
      <c r="DY50" s="24"/>
      <c r="DZ50" s="24"/>
      <c r="EA50" s="73" t="s">
        <v>91</v>
      </c>
      <c r="EB50" s="83" t="e">
        <f>DT50+EB48</f>
        <v>#N/A</v>
      </c>
      <c r="EC50" s="17" t="s">
        <v>92</v>
      </c>
      <c r="EE50" s="24"/>
      <c r="EF50" s="24"/>
      <c r="EG50" s="24"/>
      <c r="EH50" s="24"/>
      <c r="EI50" s="73" t="s">
        <v>91</v>
      </c>
      <c r="EJ50" s="83" t="e">
        <f>EB50+EJ48</f>
        <v>#N/A</v>
      </c>
      <c r="EK50" s="17" t="s">
        <v>92</v>
      </c>
      <c r="EM50" s="24"/>
      <c r="EN50" s="24"/>
      <c r="EO50" s="24"/>
      <c r="EP50" s="24"/>
      <c r="EQ50" s="73" t="s">
        <v>91</v>
      </c>
      <c r="ER50" s="83" t="e">
        <f>EJ50+ER48</f>
        <v>#N/A</v>
      </c>
      <c r="ES50" s="17" t="s">
        <v>92</v>
      </c>
      <c r="EU50" s="24"/>
      <c r="EV50" s="24"/>
      <c r="EW50" s="24"/>
      <c r="EX50" s="24"/>
      <c r="EY50" s="73" t="s">
        <v>91</v>
      </c>
      <c r="EZ50" s="83" t="e">
        <f>ER50+EZ48</f>
        <v>#N/A</v>
      </c>
      <c r="FA50" s="17" t="s">
        <v>92</v>
      </c>
      <c r="FC50" s="24"/>
      <c r="FD50" s="24"/>
      <c r="FE50" s="24"/>
      <c r="FF50" s="24"/>
      <c r="FG50" s="73" t="s">
        <v>91</v>
      </c>
      <c r="FH50" s="83" t="e">
        <f>EZ50+FH48</f>
        <v>#N/A</v>
      </c>
      <c r="FI50" s="17" t="s">
        <v>92</v>
      </c>
      <c r="FJ50" s="92"/>
      <c r="FK50" s="24"/>
      <c r="FL50" s="24"/>
      <c r="FM50" s="24"/>
      <c r="FN50" s="24"/>
      <c r="FO50" s="73" t="s">
        <v>91</v>
      </c>
      <c r="FP50" s="83" t="e">
        <f>FH50+FP48</f>
        <v>#N/A</v>
      </c>
      <c r="FQ50" s="17" t="s">
        <v>92</v>
      </c>
      <c r="FR50" s="92"/>
      <c r="FS50" s="24"/>
      <c r="FT50" s="24"/>
      <c r="FU50" s="24"/>
      <c r="FV50" s="24"/>
      <c r="FW50" s="73" t="s">
        <v>91</v>
      </c>
      <c r="FX50" s="83" t="e">
        <f>FP50+FX48</f>
        <v>#N/A</v>
      </c>
      <c r="FY50" s="17" t="s">
        <v>92</v>
      </c>
      <c r="FZ50" s="92"/>
      <c r="GA50" s="24"/>
      <c r="GB50" s="24"/>
      <c r="GC50" s="24"/>
      <c r="GD50" s="24"/>
      <c r="GE50" s="73" t="s">
        <v>91</v>
      </c>
      <c r="GF50" s="83" t="e">
        <f>FX50+GF48</f>
        <v>#N/A</v>
      </c>
      <c r="GG50" s="17" t="s">
        <v>92</v>
      </c>
      <c r="GH50" s="92"/>
      <c r="GI50" s="24"/>
      <c r="GJ50" s="24"/>
      <c r="GK50" s="24"/>
      <c r="GL50" s="24"/>
      <c r="GM50" s="73" t="s">
        <v>91</v>
      </c>
      <c r="GN50" s="83" t="e">
        <f>GF50+GN48</f>
        <v>#N/A</v>
      </c>
      <c r="GO50" s="17" t="s">
        <v>92</v>
      </c>
      <c r="GP50" s="92"/>
      <c r="GQ50" s="45"/>
      <c r="GR50" s="45"/>
      <c r="GS50" s="45"/>
      <c r="GT50" s="45"/>
      <c r="GU50" s="93"/>
      <c r="GV50" s="100"/>
      <c r="GW50" s="92"/>
      <c r="GX50" s="92"/>
      <c r="GY50" s="92"/>
      <c r="GZ50" s="92"/>
      <c r="HA50" s="92"/>
      <c r="HB50" s="92"/>
      <c r="HC50" s="92"/>
      <c r="HD50" s="92"/>
      <c r="HE50" s="92"/>
      <c r="HF50" s="92"/>
    </row>
    <row r="51" spans="1:44" ht="14.25">
      <c r="A51" s="34"/>
      <c r="B51" s="23"/>
      <c r="C51" s="23"/>
      <c r="D51" s="23"/>
      <c r="E51" s="23"/>
      <c r="F51" s="158"/>
      <c r="G51" s="23"/>
      <c r="H51" s="157"/>
      <c r="I51" s="23"/>
      <c r="K51" s="36"/>
      <c r="L51" s="38" t="s">
        <v>151</v>
      </c>
      <c r="M51" s="38" t="e">
        <f>M49+M50</f>
        <v>#DIV/0!</v>
      </c>
      <c r="N51" s="39" t="s">
        <v>152</v>
      </c>
      <c r="O51" s="23"/>
      <c r="P51" s="23"/>
      <c r="Q51" s="23"/>
      <c r="R51" s="23"/>
      <c r="S51" s="23"/>
      <c r="T51" s="23"/>
      <c r="U51" s="23"/>
      <c r="Y51" s="24"/>
      <c r="Z51" s="24"/>
      <c r="AA51" s="24"/>
      <c r="AB51" s="24"/>
      <c r="AC51" s="24"/>
      <c r="AD51" s="24"/>
      <c r="AE51" s="24"/>
      <c r="AF51" s="24"/>
      <c r="AM51" s="24"/>
      <c r="AN51" s="24"/>
      <c r="AO51" s="24"/>
      <c r="AP51" s="24"/>
      <c r="AQ51" s="73"/>
      <c r="AR51" s="83"/>
    </row>
    <row r="52" spans="10:32" ht="14.25">
      <c r="J52" s="122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Y52" s="24"/>
      <c r="Z52" s="24"/>
      <c r="AA52" s="24"/>
      <c r="AB52" s="24"/>
      <c r="AC52" s="24"/>
      <c r="AD52" s="24"/>
      <c r="AE52" s="24"/>
      <c r="AF52" s="24"/>
    </row>
    <row r="53" spans="1:21" ht="14.25">
      <c r="A53" s="166"/>
      <c r="B53" s="165"/>
      <c r="H53" s="45"/>
      <c r="I53" s="45"/>
      <c r="K53" s="23" t="s">
        <v>153</v>
      </c>
      <c r="L53" s="23"/>
      <c r="M53" s="23"/>
      <c r="N53" s="23"/>
      <c r="O53" s="23"/>
      <c r="P53" s="23" t="s">
        <v>154</v>
      </c>
      <c r="Q53" s="23"/>
      <c r="R53" s="23"/>
      <c r="S53" s="23"/>
      <c r="T53" s="23"/>
      <c r="U53" s="23"/>
    </row>
    <row r="54" spans="3:21" ht="14.25">
      <c r="C54" s="124"/>
      <c r="D54" s="124"/>
      <c r="E54" s="124"/>
      <c r="F54" s="124"/>
      <c r="G54" s="124"/>
      <c r="I54" s="45"/>
      <c r="K54" s="19" t="s">
        <v>155</v>
      </c>
      <c r="L54" s="20"/>
      <c r="M54" s="20"/>
      <c r="N54" s="22"/>
      <c r="O54" s="23"/>
      <c r="P54" s="19" t="s">
        <v>156</v>
      </c>
      <c r="Q54" s="20"/>
      <c r="R54" s="20"/>
      <c r="S54" s="22"/>
      <c r="T54" s="23"/>
      <c r="U54" s="23"/>
    </row>
    <row r="55" spans="3:197" ht="15.75">
      <c r="C55" s="123"/>
      <c r="D55" s="208"/>
      <c r="E55" s="209" t="s">
        <v>111</v>
      </c>
      <c r="F55" s="208"/>
      <c r="G55" s="123"/>
      <c r="K55" s="32" t="s">
        <v>157</v>
      </c>
      <c r="L55" s="34"/>
      <c r="M55" s="34" t="s">
        <v>158</v>
      </c>
      <c r="N55" s="35"/>
      <c r="O55" s="23"/>
      <c r="P55" s="32" t="s">
        <v>158</v>
      </c>
      <c r="Q55" s="34"/>
      <c r="R55" s="101" t="s">
        <v>159</v>
      </c>
      <c r="S55" s="35"/>
      <c r="T55" s="23"/>
      <c r="U55" s="23"/>
      <c r="Y55" s="17">
        <f>VLOOKUP(45,$P$73:$S$128,$R$71+1)</f>
        <v>0.2</v>
      </c>
      <c r="Z55" s="17" t="s">
        <v>17</v>
      </c>
      <c r="AB55" s="24"/>
      <c r="AC55" s="24"/>
      <c r="AG55" s="17">
        <f>VLOOKUP(46,$P$73:$S$128,$R$71+1)</f>
        <v>2.67</v>
      </c>
      <c r="AH55" s="17" t="s">
        <v>17</v>
      </c>
      <c r="AJ55" s="24"/>
      <c r="AK55" s="24"/>
      <c r="AO55" s="17">
        <f>VLOOKUP(47,$P$73:$S$128,$R$71+1)</f>
        <v>1.6</v>
      </c>
      <c r="AP55" s="17" t="s">
        <v>17</v>
      </c>
      <c r="AR55" s="24"/>
      <c r="AS55" s="24"/>
      <c r="AW55" s="17">
        <f>VLOOKUP(48,$P$73:$S$128,$R$71+1)</f>
        <v>0.36</v>
      </c>
      <c r="AX55" s="17" t="s">
        <v>17</v>
      </c>
      <c r="AZ55" s="24"/>
      <c r="BA55" s="24"/>
      <c r="BE55" s="17">
        <f>VLOOKUP(49,$P$73:$S$128,$R$71+1)</f>
        <v>0.27</v>
      </c>
      <c r="BF55" s="17" t="s">
        <v>17</v>
      </c>
      <c r="BH55" s="24"/>
      <c r="BI55" s="24"/>
      <c r="BM55" s="17">
        <f>VLOOKUP(50,$P$73:$S$128,$R$71+1)</f>
        <v>0.1</v>
      </c>
      <c r="BN55" s="17" t="s">
        <v>17</v>
      </c>
      <c r="BP55" s="24"/>
      <c r="BQ55" s="24"/>
      <c r="BU55" s="17">
        <f>VLOOKUP(51,$P$73:$S$128,$R$71+1)</f>
        <v>0.14</v>
      </c>
      <c r="BV55" s="17" t="s">
        <v>17</v>
      </c>
      <c r="BX55" s="24"/>
      <c r="BY55" s="24"/>
      <c r="CC55" s="17">
        <f>VLOOKUP(52,$P$73:$S$128,$R$71+1)</f>
        <v>0.39</v>
      </c>
      <c r="CD55" s="17" t="s">
        <v>17</v>
      </c>
      <c r="CF55" s="24"/>
      <c r="CG55" s="24"/>
      <c r="CK55" s="17">
        <f>VLOOKUP(53,$P$73:$S$128,$R$71+1)</f>
        <v>0.2</v>
      </c>
      <c r="CL55" s="17" t="s">
        <v>17</v>
      </c>
      <c r="CN55" s="24"/>
      <c r="CO55" s="24"/>
      <c r="CS55" s="17">
        <f>VLOOKUP(54,$P$73:$S$128,$R$71+1)</f>
        <v>0.37</v>
      </c>
      <c r="CT55" s="17" t="s">
        <v>17</v>
      </c>
      <c r="CV55" s="24"/>
      <c r="CW55" s="24"/>
      <c r="DA55" s="17">
        <f>VLOOKUP(55,$P$73:$S$128,$R$71+1)</f>
        <v>0.19</v>
      </c>
      <c r="DB55" s="17" t="s">
        <v>17</v>
      </c>
      <c r="DD55" s="24"/>
      <c r="DE55" s="24"/>
      <c r="DI55" s="17">
        <f>VLOOKUP(56,$P$73:$S$128,$R$71+1)</f>
        <v>0.51</v>
      </c>
      <c r="DJ55" s="17" t="s">
        <v>17</v>
      </c>
      <c r="DL55" s="24"/>
      <c r="DM55" s="24"/>
      <c r="DQ55" s="17">
        <f>VLOOKUP(57,$P$73:$S$142,$R$71+1)</f>
        <v>0.13</v>
      </c>
      <c r="DR55" s="17" t="s">
        <v>17</v>
      </c>
      <c r="DT55" s="24"/>
      <c r="DU55" s="24"/>
      <c r="DY55" s="17">
        <f>VLOOKUP(58,$P$73:$S$142,$R$71+1)</f>
        <v>0.13</v>
      </c>
      <c r="DZ55" s="17" t="s">
        <v>17</v>
      </c>
      <c r="EB55" s="24"/>
      <c r="EC55" s="24"/>
      <c r="EG55" s="17">
        <f>VLOOKUP(59,$P$73:$S$142,$R$71+1)</f>
        <v>0.3</v>
      </c>
      <c r="EH55" s="17" t="s">
        <v>17</v>
      </c>
      <c r="EJ55" s="24"/>
      <c r="EK55" s="24"/>
      <c r="EO55" s="17">
        <f>VLOOKUP(60,$P$73:$S$142,$R$71+1)</f>
        <v>0.47</v>
      </c>
      <c r="EP55" s="17" t="s">
        <v>17</v>
      </c>
      <c r="ER55" s="24"/>
      <c r="ES55" s="24"/>
      <c r="EW55" s="17">
        <f>VLOOKUP(61,$P$73:$S$142,$R$71+1)</f>
        <v>0.24</v>
      </c>
      <c r="EX55" s="17" t="s">
        <v>17</v>
      </c>
      <c r="EZ55" s="24"/>
      <c r="FA55" s="24"/>
      <c r="FE55" s="17">
        <f>VLOOKUP(62,$P$73:$S$142,$R$71+1)</f>
        <v>0.2</v>
      </c>
      <c r="FF55" s="17" t="s">
        <v>17</v>
      </c>
      <c r="FH55" s="24"/>
      <c r="FI55" s="24"/>
      <c r="FM55" s="17">
        <f>VLOOKUP(63,$P$73:$S$142,$R$71+1)</f>
        <v>0.27</v>
      </c>
      <c r="FN55" s="17" t="s">
        <v>17</v>
      </c>
      <c r="FP55" s="24"/>
      <c r="FQ55" s="24"/>
      <c r="FU55" s="17">
        <f>VLOOKUP(64,$P$73:$S$142,$R$71+1)</f>
        <v>0.11</v>
      </c>
      <c r="FV55" s="17" t="s">
        <v>17</v>
      </c>
      <c r="FX55" s="24"/>
      <c r="FY55" s="24"/>
      <c r="GC55" s="17">
        <f>VLOOKUP(65,$P$73:$S$142,$R$71+1)</f>
        <v>0.14</v>
      </c>
      <c r="GD55" s="17" t="s">
        <v>17</v>
      </c>
      <c r="GF55" s="24"/>
      <c r="GG55" s="24"/>
      <c r="GK55" s="17">
        <f>VLOOKUP(66,$P$73:$S$142,$R$71+1)</f>
        <v>0.92</v>
      </c>
      <c r="GL55" s="17" t="s">
        <v>17</v>
      </c>
      <c r="GN55" s="24"/>
      <c r="GO55" s="24"/>
    </row>
    <row r="56" spans="1:197" ht="14.25">
      <c r="A56" s="92"/>
      <c r="B56" s="92"/>
      <c r="C56" s="123"/>
      <c r="D56" s="192"/>
      <c r="E56" s="161" t="s">
        <v>112</v>
      </c>
      <c r="F56" s="192">
        <v>0.59</v>
      </c>
      <c r="G56" s="123"/>
      <c r="H56" s="92"/>
      <c r="I56" s="92"/>
      <c r="K56" s="36" t="e">
        <f>M40</f>
        <v>#DIV/0!</v>
      </c>
      <c r="L56" s="61" t="e">
        <f>1-(R50/100)</f>
        <v>#DIV/0!</v>
      </c>
      <c r="M56" s="61" t="e">
        <f>$K$56*$L$56</f>
        <v>#DIV/0!</v>
      </c>
      <c r="N56" s="39"/>
      <c r="O56" s="23"/>
      <c r="P56" s="97" t="e">
        <f>M56</f>
        <v>#DIV/0!</v>
      </c>
      <c r="Q56" s="38"/>
      <c r="R56" s="38"/>
      <c r="S56" s="39"/>
      <c r="T56" s="23"/>
      <c r="U56" s="23"/>
      <c r="W56" s="40"/>
      <c r="X56" s="41" t="s">
        <v>42</v>
      </c>
      <c r="Y56" s="41" t="s">
        <v>43</v>
      </c>
      <c r="Z56" s="42" t="s">
        <v>0</v>
      </c>
      <c r="AA56" s="42" t="s">
        <v>44</v>
      </c>
      <c r="AB56" s="41" t="s">
        <v>45</v>
      </c>
      <c r="AC56" s="43" t="s">
        <v>46</v>
      </c>
      <c r="AE56" s="40"/>
      <c r="AF56" s="41" t="s">
        <v>42</v>
      </c>
      <c r="AG56" s="41" t="s">
        <v>43</v>
      </c>
      <c r="AH56" s="42" t="s">
        <v>0</v>
      </c>
      <c r="AI56" s="42" t="s">
        <v>44</v>
      </c>
      <c r="AJ56" s="41" t="s">
        <v>45</v>
      </c>
      <c r="AK56" s="43" t="s">
        <v>46</v>
      </c>
      <c r="AM56" s="40"/>
      <c r="AN56" s="41" t="s">
        <v>42</v>
      </c>
      <c r="AO56" s="41" t="s">
        <v>43</v>
      </c>
      <c r="AP56" s="42" t="s">
        <v>0</v>
      </c>
      <c r="AQ56" s="42" t="s">
        <v>44</v>
      </c>
      <c r="AR56" s="41" t="s">
        <v>45</v>
      </c>
      <c r="AS56" s="43" t="s">
        <v>46</v>
      </c>
      <c r="AU56" s="40"/>
      <c r="AV56" s="41" t="s">
        <v>42</v>
      </c>
      <c r="AW56" s="41" t="s">
        <v>43</v>
      </c>
      <c r="AX56" s="42" t="s">
        <v>0</v>
      </c>
      <c r="AY56" s="42" t="s">
        <v>44</v>
      </c>
      <c r="AZ56" s="41" t="s">
        <v>45</v>
      </c>
      <c r="BA56" s="43" t="s">
        <v>46</v>
      </c>
      <c r="BC56" s="40"/>
      <c r="BD56" s="41" t="s">
        <v>42</v>
      </c>
      <c r="BE56" s="41" t="s">
        <v>43</v>
      </c>
      <c r="BF56" s="42" t="s">
        <v>0</v>
      </c>
      <c r="BG56" s="42" t="s">
        <v>44</v>
      </c>
      <c r="BH56" s="41" t="s">
        <v>45</v>
      </c>
      <c r="BI56" s="43" t="s">
        <v>46</v>
      </c>
      <c r="BK56" s="40"/>
      <c r="BL56" s="41" t="s">
        <v>42</v>
      </c>
      <c r="BM56" s="41" t="s">
        <v>43</v>
      </c>
      <c r="BN56" s="42" t="s">
        <v>0</v>
      </c>
      <c r="BO56" s="42" t="s">
        <v>44</v>
      </c>
      <c r="BP56" s="41" t="s">
        <v>45</v>
      </c>
      <c r="BQ56" s="43" t="s">
        <v>46</v>
      </c>
      <c r="BS56" s="40"/>
      <c r="BT56" s="41" t="s">
        <v>42</v>
      </c>
      <c r="BU56" s="41" t="s">
        <v>43</v>
      </c>
      <c r="BV56" s="42" t="s">
        <v>0</v>
      </c>
      <c r="BW56" s="42" t="s">
        <v>44</v>
      </c>
      <c r="BX56" s="41" t="s">
        <v>45</v>
      </c>
      <c r="BY56" s="43" t="s">
        <v>46</v>
      </c>
      <c r="CA56" s="40"/>
      <c r="CB56" s="41" t="s">
        <v>42</v>
      </c>
      <c r="CC56" s="41" t="s">
        <v>43</v>
      </c>
      <c r="CD56" s="42" t="s">
        <v>0</v>
      </c>
      <c r="CE56" s="42" t="s">
        <v>44</v>
      </c>
      <c r="CF56" s="41" t="s">
        <v>45</v>
      </c>
      <c r="CG56" s="43" t="s">
        <v>46</v>
      </c>
      <c r="CI56" s="40"/>
      <c r="CJ56" s="41" t="s">
        <v>42</v>
      </c>
      <c r="CK56" s="41" t="s">
        <v>43</v>
      </c>
      <c r="CL56" s="42" t="s">
        <v>0</v>
      </c>
      <c r="CM56" s="42" t="s">
        <v>44</v>
      </c>
      <c r="CN56" s="41" t="s">
        <v>45</v>
      </c>
      <c r="CO56" s="43" t="s">
        <v>46</v>
      </c>
      <c r="CQ56" s="40"/>
      <c r="CR56" s="41" t="s">
        <v>42</v>
      </c>
      <c r="CS56" s="41" t="s">
        <v>43</v>
      </c>
      <c r="CT56" s="42" t="s">
        <v>0</v>
      </c>
      <c r="CU56" s="42" t="s">
        <v>44</v>
      </c>
      <c r="CV56" s="41" t="s">
        <v>45</v>
      </c>
      <c r="CW56" s="43" t="s">
        <v>46</v>
      </c>
      <c r="CY56" s="40"/>
      <c r="CZ56" s="41" t="s">
        <v>42</v>
      </c>
      <c r="DA56" s="41" t="s">
        <v>43</v>
      </c>
      <c r="DB56" s="42" t="s">
        <v>0</v>
      </c>
      <c r="DC56" s="42" t="s">
        <v>44</v>
      </c>
      <c r="DD56" s="41" t="s">
        <v>45</v>
      </c>
      <c r="DE56" s="43" t="s">
        <v>46</v>
      </c>
      <c r="DG56" s="40"/>
      <c r="DH56" s="41" t="s">
        <v>42</v>
      </c>
      <c r="DI56" s="41" t="s">
        <v>43</v>
      </c>
      <c r="DJ56" s="42" t="s">
        <v>0</v>
      </c>
      <c r="DK56" s="42" t="s">
        <v>44</v>
      </c>
      <c r="DL56" s="41" t="s">
        <v>45</v>
      </c>
      <c r="DM56" s="43" t="s">
        <v>46</v>
      </c>
      <c r="DO56" s="40"/>
      <c r="DP56" s="41" t="s">
        <v>42</v>
      </c>
      <c r="DQ56" s="41" t="s">
        <v>43</v>
      </c>
      <c r="DR56" s="42" t="s">
        <v>0</v>
      </c>
      <c r="DS56" s="42" t="s">
        <v>44</v>
      </c>
      <c r="DT56" s="41" t="s">
        <v>45</v>
      </c>
      <c r="DU56" s="43" t="s">
        <v>46</v>
      </c>
      <c r="DW56" s="40"/>
      <c r="DX56" s="41" t="s">
        <v>42</v>
      </c>
      <c r="DY56" s="41" t="s">
        <v>43</v>
      </c>
      <c r="DZ56" s="42" t="s">
        <v>0</v>
      </c>
      <c r="EA56" s="42" t="s">
        <v>44</v>
      </c>
      <c r="EB56" s="41" t="s">
        <v>45</v>
      </c>
      <c r="EC56" s="43" t="s">
        <v>46</v>
      </c>
      <c r="EE56" s="40"/>
      <c r="EF56" s="41" t="s">
        <v>42</v>
      </c>
      <c r="EG56" s="41" t="s">
        <v>43</v>
      </c>
      <c r="EH56" s="42" t="s">
        <v>0</v>
      </c>
      <c r="EI56" s="42" t="s">
        <v>44</v>
      </c>
      <c r="EJ56" s="41" t="s">
        <v>45</v>
      </c>
      <c r="EK56" s="43" t="s">
        <v>46</v>
      </c>
      <c r="EM56" s="40"/>
      <c r="EN56" s="41" t="s">
        <v>42</v>
      </c>
      <c r="EO56" s="41" t="s">
        <v>43</v>
      </c>
      <c r="EP56" s="42" t="s">
        <v>0</v>
      </c>
      <c r="EQ56" s="42" t="s">
        <v>44</v>
      </c>
      <c r="ER56" s="41" t="s">
        <v>45</v>
      </c>
      <c r="ES56" s="43" t="s">
        <v>46</v>
      </c>
      <c r="EU56" s="40"/>
      <c r="EV56" s="41" t="s">
        <v>42</v>
      </c>
      <c r="EW56" s="41" t="s">
        <v>43</v>
      </c>
      <c r="EX56" s="42" t="s">
        <v>0</v>
      </c>
      <c r="EY56" s="42" t="s">
        <v>44</v>
      </c>
      <c r="EZ56" s="41" t="s">
        <v>45</v>
      </c>
      <c r="FA56" s="43" t="s">
        <v>46</v>
      </c>
      <c r="FC56" s="40"/>
      <c r="FD56" s="41" t="s">
        <v>42</v>
      </c>
      <c r="FE56" s="41" t="s">
        <v>43</v>
      </c>
      <c r="FF56" s="42" t="s">
        <v>0</v>
      </c>
      <c r="FG56" s="42" t="s">
        <v>44</v>
      </c>
      <c r="FH56" s="41" t="s">
        <v>45</v>
      </c>
      <c r="FI56" s="43" t="s">
        <v>46</v>
      </c>
      <c r="FK56" s="40"/>
      <c r="FL56" s="41" t="s">
        <v>42</v>
      </c>
      <c r="FM56" s="41" t="s">
        <v>43</v>
      </c>
      <c r="FN56" s="42" t="s">
        <v>0</v>
      </c>
      <c r="FO56" s="42" t="s">
        <v>44</v>
      </c>
      <c r="FP56" s="41" t="s">
        <v>45</v>
      </c>
      <c r="FQ56" s="43" t="s">
        <v>46</v>
      </c>
      <c r="FS56" s="40"/>
      <c r="FT56" s="41" t="s">
        <v>42</v>
      </c>
      <c r="FU56" s="41" t="s">
        <v>43</v>
      </c>
      <c r="FV56" s="42" t="s">
        <v>0</v>
      </c>
      <c r="FW56" s="42" t="s">
        <v>44</v>
      </c>
      <c r="FX56" s="41" t="s">
        <v>45</v>
      </c>
      <c r="FY56" s="43" t="s">
        <v>46</v>
      </c>
      <c r="GA56" s="40"/>
      <c r="GB56" s="41" t="s">
        <v>42</v>
      </c>
      <c r="GC56" s="41" t="s">
        <v>43</v>
      </c>
      <c r="GD56" s="42" t="s">
        <v>0</v>
      </c>
      <c r="GE56" s="42" t="s">
        <v>44</v>
      </c>
      <c r="GF56" s="41" t="s">
        <v>45</v>
      </c>
      <c r="GG56" s="43" t="s">
        <v>46</v>
      </c>
      <c r="GI56" s="40"/>
      <c r="GJ56" s="41" t="s">
        <v>42</v>
      </c>
      <c r="GK56" s="41" t="s">
        <v>43</v>
      </c>
      <c r="GL56" s="42" t="s">
        <v>0</v>
      </c>
      <c r="GM56" s="42" t="s">
        <v>44</v>
      </c>
      <c r="GN56" s="41" t="s">
        <v>45</v>
      </c>
      <c r="GO56" s="43" t="s">
        <v>46</v>
      </c>
    </row>
    <row r="57" spans="1:197" ht="14.25">
      <c r="A57" s="144"/>
      <c r="B57" s="1"/>
      <c r="C57" s="123"/>
      <c r="D57" s="192"/>
      <c r="E57" s="161" t="s">
        <v>115</v>
      </c>
      <c r="F57" s="192">
        <v>0.59</v>
      </c>
      <c r="G57" s="123"/>
      <c r="H57" s="92"/>
      <c r="I57" s="92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W57" s="51" t="s">
        <v>50</v>
      </c>
      <c r="X57" s="24">
        <f>$E$12</f>
        <v>0</v>
      </c>
      <c r="Y57" s="52">
        <f>X57/43560</f>
        <v>0</v>
      </c>
      <c r="Z57" s="53" t="e">
        <f>$O$4</f>
        <v>#N/A</v>
      </c>
      <c r="AA57" s="31" t="e">
        <f>(1000/Z57)-10</f>
        <v>#N/A</v>
      </c>
      <c r="AB57" s="31" t="e">
        <f>(Y55-0.2*AA57)^2/(Y55+0.8*AA57)</f>
        <v>#N/A</v>
      </c>
      <c r="AC57" s="54" t="e">
        <f>IF(Y55&gt;0,AB57*Y57,0)</f>
        <v>#N/A</v>
      </c>
      <c r="AE57" s="51" t="s">
        <v>50</v>
      </c>
      <c r="AF57" s="24">
        <f>$E$12</f>
        <v>0</v>
      </c>
      <c r="AG57" s="52">
        <f>AF57/43560</f>
        <v>0</v>
      </c>
      <c r="AH57" s="53" t="e">
        <f>$O$4</f>
        <v>#N/A</v>
      </c>
      <c r="AI57" s="31" t="e">
        <f>(1000/AH57)-10</f>
        <v>#N/A</v>
      </c>
      <c r="AJ57" s="31" t="e">
        <f>(AG55-0.2*AI57)^2/(AG55+0.8*AI57)</f>
        <v>#N/A</v>
      </c>
      <c r="AK57" s="54" t="e">
        <f>IF(AG55&gt;0,AJ57*AG57,0)</f>
        <v>#N/A</v>
      </c>
      <c r="AM57" s="51" t="s">
        <v>50</v>
      </c>
      <c r="AN57" s="24">
        <f>$E$12</f>
        <v>0</v>
      </c>
      <c r="AO57" s="52">
        <f>AN57/43560</f>
        <v>0</v>
      </c>
      <c r="AP57" s="53" t="e">
        <f>$O$4</f>
        <v>#N/A</v>
      </c>
      <c r="AQ57" s="31" t="e">
        <f>(1000/AP57)-10</f>
        <v>#N/A</v>
      </c>
      <c r="AR57" s="31" t="e">
        <f>(AO55-0.2*AQ57)^2/(AO55+0.8*AQ57)</f>
        <v>#N/A</v>
      </c>
      <c r="AS57" s="54" t="e">
        <f>IF(AO55&gt;0,AR57*AO57,0)</f>
        <v>#N/A</v>
      </c>
      <c r="AU57" s="51" t="s">
        <v>50</v>
      </c>
      <c r="AV57" s="24">
        <f>$E$12</f>
        <v>0</v>
      </c>
      <c r="AW57" s="52">
        <f>AV57/43560</f>
        <v>0</v>
      </c>
      <c r="AX57" s="53" t="e">
        <f>$O$4</f>
        <v>#N/A</v>
      </c>
      <c r="AY57" s="31" t="e">
        <f>(1000/AX57)-10</f>
        <v>#N/A</v>
      </c>
      <c r="AZ57" s="31" t="e">
        <f>(AW55-0.2*AY57)^2/(AW55+0.8*AY57)</f>
        <v>#N/A</v>
      </c>
      <c r="BA57" s="54" t="e">
        <f>IF(AW55&gt;0,AZ57*AW57,0)</f>
        <v>#N/A</v>
      </c>
      <c r="BC57" s="51" t="s">
        <v>50</v>
      </c>
      <c r="BD57" s="24">
        <f>$E$12</f>
        <v>0</v>
      </c>
      <c r="BE57" s="52">
        <f>BD57/43560</f>
        <v>0</v>
      </c>
      <c r="BF57" s="53" t="e">
        <f>$O$4</f>
        <v>#N/A</v>
      </c>
      <c r="BG57" s="31" t="e">
        <f>(1000/BF57)-10</f>
        <v>#N/A</v>
      </c>
      <c r="BH57" s="31" t="e">
        <f>(BE55-0.2*BG57)^2/(BE55+0.8*BG57)</f>
        <v>#N/A</v>
      </c>
      <c r="BI57" s="54" t="e">
        <f>IF(BE55&gt;0,BH57*BE57,0)</f>
        <v>#N/A</v>
      </c>
      <c r="BK57" s="51" t="s">
        <v>50</v>
      </c>
      <c r="BL57" s="24">
        <f>$E$12</f>
        <v>0</v>
      </c>
      <c r="BM57" s="52">
        <f>BL57/43560</f>
        <v>0</v>
      </c>
      <c r="BN57" s="53" t="e">
        <f>$O$4</f>
        <v>#N/A</v>
      </c>
      <c r="BO57" s="31" t="e">
        <f>(1000/BN57)-10</f>
        <v>#N/A</v>
      </c>
      <c r="BP57" s="31" t="e">
        <f>(BM55-0.2*BO57)^2/(BM55+0.8*BO57)</f>
        <v>#N/A</v>
      </c>
      <c r="BQ57" s="54" t="e">
        <f>IF(BM55&gt;0,BP57*BM57,0)</f>
        <v>#N/A</v>
      </c>
      <c r="BS57" s="51" t="s">
        <v>50</v>
      </c>
      <c r="BT57" s="24">
        <f>$E$12</f>
        <v>0</v>
      </c>
      <c r="BU57" s="52">
        <f>BT57/43560</f>
        <v>0</v>
      </c>
      <c r="BV57" s="53" t="e">
        <f>$O$4</f>
        <v>#N/A</v>
      </c>
      <c r="BW57" s="31" t="e">
        <f>(1000/BV57)-10</f>
        <v>#N/A</v>
      </c>
      <c r="BX57" s="31" t="e">
        <f>(BU55-0.2*BW57)^2/(BU55+0.8*BW57)</f>
        <v>#N/A</v>
      </c>
      <c r="BY57" s="54" t="e">
        <f>IF(BU55&gt;0,BX57*BU57,0)</f>
        <v>#N/A</v>
      </c>
      <c r="CA57" s="51" t="s">
        <v>50</v>
      </c>
      <c r="CB57" s="24">
        <f>$E$12</f>
        <v>0</v>
      </c>
      <c r="CC57" s="52">
        <f>CB57/43560</f>
        <v>0</v>
      </c>
      <c r="CD57" s="53" t="e">
        <f>$O$4</f>
        <v>#N/A</v>
      </c>
      <c r="CE57" s="31" t="e">
        <f>(1000/CD57)-10</f>
        <v>#N/A</v>
      </c>
      <c r="CF57" s="31" t="e">
        <f>(CC55-0.2*CE57)^2/(CC55+0.8*CE57)</f>
        <v>#N/A</v>
      </c>
      <c r="CG57" s="54" t="e">
        <f>IF(CC55&gt;0,CF57*CC57,0)</f>
        <v>#N/A</v>
      </c>
      <c r="CI57" s="51" t="s">
        <v>50</v>
      </c>
      <c r="CJ57" s="24">
        <f>$E$12</f>
        <v>0</v>
      </c>
      <c r="CK57" s="52">
        <f>CJ57/43560</f>
        <v>0</v>
      </c>
      <c r="CL57" s="53" t="e">
        <f>$O$4</f>
        <v>#N/A</v>
      </c>
      <c r="CM57" s="31" t="e">
        <f>(1000/CL57)-10</f>
        <v>#N/A</v>
      </c>
      <c r="CN57" s="31" t="e">
        <f>(CK55-0.2*CM57)^2/(CK55+0.8*CM57)</f>
        <v>#N/A</v>
      </c>
      <c r="CO57" s="54" t="e">
        <f>IF(CK55&gt;0,CN57*CK57,0)</f>
        <v>#N/A</v>
      </c>
      <c r="CQ57" s="51" t="s">
        <v>50</v>
      </c>
      <c r="CR57" s="24">
        <f>$E$12</f>
        <v>0</v>
      </c>
      <c r="CS57" s="52">
        <f>CR57/43560</f>
        <v>0</v>
      </c>
      <c r="CT57" s="53" t="e">
        <f>$O$4</f>
        <v>#N/A</v>
      </c>
      <c r="CU57" s="31" t="e">
        <f>(1000/CT57)-10</f>
        <v>#N/A</v>
      </c>
      <c r="CV57" s="31" t="e">
        <f>(CS55-0.2*CU57)^2/(CS55+0.8*CU57)</f>
        <v>#N/A</v>
      </c>
      <c r="CW57" s="54" t="e">
        <f>IF(CS55&gt;0,CV57*CS57,0)</f>
        <v>#N/A</v>
      </c>
      <c r="CY57" s="51" t="s">
        <v>50</v>
      </c>
      <c r="CZ57" s="24">
        <f>$E$12</f>
        <v>0</v>
      </c>
      <c r="DA57" s="52">
        <f>CZ57/43560</f>
        <v>0</v>
      </c>
      <c r="DB57" s="53" t="e">
        <f>$O$4</f>
        <v>#N/A</v>
      </c>
      <c r="DC57" s="31" t="e">
        <f>(1000/DB57)-10</f>
        <v>#N/A</v>
      </c>
      <c r="DD57" s="31" t="e">
        <f>(DA55-0.2*DC57)^2/(DA55+0.8*DC57)</f>
        <v>#N/A</v>
      </c>
      <c r="DE57" s="54" t="e">
        <f>IF(DA55&gt;0,DD57*DA57,0)</f>
        <v>#N/A</v>
      </c>
      <c r="DG57" s="51" t="s">
        <v>50</v>
      </c>
      <c r="DH57" s="24">
        <f>$E$12</f>
        <v>0</v>
      </c>
      <c r="DI57" s="52">
        <f>DH57/43560</f>
        <v>0</v>
      </c>
      <c r="DJ57" s="53" t="e">
        <f>$O$4</f>
        <v>#N/A</v>
      </c>
      <c r="DK57" s="31" t="e">
        <f>(1000/DJ57)-10</f>
        <v>#N/A</v>
      </c>
      <c r="DL57" s="31" t="e">
        <f>(DI55-0.2*DK57)^2/(DI55+0.8*DK57)</f>
        <v>#N/A</v>
      </c>
      <c r="DM57" s="54" t="e">
        <f>IF(DI55&gt;0,DL57*DI57,0)</f>
        <v>#N/A</v>
      </c>
      <c r="DO57" s="51" t="s">
        <v>50</v>
      </c>
      <c r="DP57" s="24">
        <f>$E$12</f>
        <v>0</v>
      </c>
      <c r="DQ57" s="52">
        <f>DP57/43560</f>
        <v>0</v>
      </c>
      <c r="DR57" s="53" t="e">
        <f>$O$4</f>
        <v>#N/A</v>
      </c>
      <c r="DS57" s="31" t="e">
        <f>(1000/DR57)-10</f>
        <v>#N/A</v>
      </c>
      <c r="DT57" s="31" t="e">
        <f>(DQ55-0.2*DS57)^2/(DQ55+0.8*DS57)</f>
        <v>#N/A</v>
      </c>
      <c r="DU57" s="54" t="e">
        <f>IF(DQ55&gt;0,DT57*DQ57,0)</f>
        <v>#N/A</v>
      </c>
      <c r="DW57" s="51" t="s">
        <v>50</v>
      </c>
      <c r="DX57" s="24">
        <f>$E$12</f>
        <v>0</v>
      </c>
      <c r="DY57" s="52">
        <f>DX57/43560</f>
        <v>0</v>
      </c>
      <c r="DZ57" s="53" t="e">
        <f>$O$4</f>
        <v>#N/A</v>
      </c>
      <c r="EA57" s="31" t="e">
        <f>(1000/DZ57)-10</f>
        <v>#N/A</v>
      </c>
      <c r="EB57" s="31" t="e">
        <f>(DY55-0.2*EA57)^2/(DY55+0.8*EA57)</f>
        <v>#N/A</v>
      </c>
      <c r="EC57" s="54" t="e">
        <f>IF(DY55&gt;0,EB57*DY57,0)</f>
        <v>#N/A</v>
      </c>
      <c r="EE57" s="51" t="s">
        <v>50</v>
      </c>
      <c r="EF57" s="24">
        <f>$E$12</f>
        <v>0</v>
      </c>
      <c r="EG57" s="52">
        <f>EF57/43560</f>
        <v>0</v>
      </c>
      <c r="EH57" s="53" t="e">
        <f>$O$4</f>
        <v>#N/A</v>
      </c>
      <c r="EI57" s="31" t="e">
        <f>(1000/EH57)-10</f>
        <v>#N/A</v>
      </c>
      <c r="EJ57" s="31" t="e">
        <f>(EG55-0.2*EI57)^2/(EG55+0.8*EI57)</f>
        <v>#N/A</v>
      </c>
      <c r="EK57" s="54" t="e">
        <f>IF(EG55&gt;0,EJ57*EG57,0)</f>
        <v>#N/A</v>
      </c>
      <c r="EM57" s="51" t="s">
        <v>50</v>
      </c>
      <c r="EN57" s="24">
        <f>$E$12</f>
        <v>0</v>
      </c>
      <c r="EO57" s="52">
        <f>EN57/43560</f>
        <v>0</v>
      </c>
      <c r="EP57" s="53" t="e">
        <f>$O$4</f>
        <v>#N/A</v>
      </c>
      <c r="EQ57" s="31" t="e">
        <f>(1000/EP57)-10</f>
        <v>#N/A</v>
      </c>
      <c r="ER57" s="31" t="e">
        <f>(EO55-0.2*EQ57)^2/(EO55+0.8*EQ57)</f>
        <v>#N/A</v>
      </c>
      <c r="ES57" s="54" t="e">
        <f>IF(EO55&gt;0,ER57*EO57,0)</f>
        <v>#N/A</v>
      </c>
      <c r="EU57" s="51" t="s">
        <v>50</v>
      </c>
      <c r="EV57" s="24">
        <f>$E$12</f>
        <v>0</v>
      </c>
      <c r="EW57" s="52">
        <f>EV57/43560</f>
        <v>0</v>
      </c>
      <c r="EX57" s="53" t="e">
        <f>$O$4</f>
        <v>#N/A</v>
      </c>
      <c r="EY57" s="31" t="e">
        <f>(1000/EX57)-10</f>
        <v>#N/A</v>
      </c>
      <c r="EZ57" s="31" t="e">
        <f>(EW55-0.2*EY57)^2/(EW55+0.8*EY57)</f>
        <v>#N/A</v>
      </c>
      <c r="FA57" s="54" t="e">
        <f>IF(EW55&gt;0,EZ57*EW57,0)</f>
        <v>#N/A</v>
      </c>
      <c r="FC57" s="51" t="s">
        <v>50</v>
      </c>
      <c r="FD57" s="24">
        <f>$E$12</f>
        <v>0</v>
      </c>
      <c r="FE57" s="52">
        <f>FD57/43560</f>
        <v>0</v>
      </c>
      <c r="FF57" s="53" t="e">
        <f>$O$4</f>
        <v>#N/A</v>
      </c>
      <c r="FG57" s="31" t="e">
        <f>(1000/FF57)-10</f>
        <v>#N/A</v>
      </c>
      <c r="FH57" s="31" t="e">
        <f>(FE55-0.2*FG57)^2/(FE55+0.8*FG57)</f>
        <v>#N/A</v>
      </c>
      <c r="FI57" s="54" t="e">
        <f>IF(FE55&gt;0,FH57*FE57,0)</f>
        <v>#N/A</v>
      </c>
      <c r="FK57" s="51" t="s">
        <v>50</v>
      </c>
      <c r="FL57" s="24">
        <f>$E$12</f>
        <v>0</v>
      </c>
      <c r="FM57" s="52">
        <f>FL57/43560</f>
        <v>0</v>
      </c>
      <c r="FN57" s="53" t="e">
        <f>$O$4</f>
        <v>#N/A</v>
      </c>
      <c r="FO57" s="31" t="e">
        <f>(1000/FN57)-10</f>
        <v>#N/A</v>
      </c>
      <c r="FP57" s="31" t="e">
        <f>(FM55-0.2*FO57)^2/(FM55+0.8*FO57)</f>
        <v>#N/A</v>
      </c>
      <c r="FQ57" s="54" t="e">
        <f>IF(FM55&gt;0,FP57*FM57,0)</f>
        <v>#N/A</v>
      </c>
      <c r="FS57" s="51" t="s">
        <v>50</v>
      </c>
      <c r="FT57" s="24">
        <f>$E$12</f>
        <v>0</v>
      </c>
      <c r="FU57" s="52">
        <f>FT57/43560</f>
        <v>0</v>
      </c>
      <c r="FV57" s="53" t="e">
        <f>$O$4</f>
        <v>#N/A</v>
      </c>
      <c r="FW57" s="31" t="e">
        <f>(1000/FV57)-10</f>
        <v>#N/A</v>
      </c>
      <c r="FX57" s="31" t="e">
        <f>(FU55-0.2*FW57)^2/(FU55+0.8*FW57)</f>
        <v>#N/A</v>
      </c>
      <c r="FY57" s="54" t="e">
        <f>IF(FU55&gt;0,FX57*FU57,0)</f>
        <v>#N/A</v>
      </c>
      <c r="GA57" s="51" t="s">
        <v>50</v>
      </c>
      <c r="GB57" s="24">
        <f>$E$12</f>
        <v>0</v>
      </c>
      <c r="GC57" s="52">
        <f>GB57/43560</f>
        <v>0</v>
      </c>
      <c r="GD57" s="53" t="e">
        <f>$O$4</f>
        <v>#N/A</v>
      </c>
      <c r="GE57" s="31" t="e">
        <f>(1000/GD57)-10</f>
        <v>#N/A</v>
      </c>
      <c r="GF57" s="31" t="e">
        <f>(GC55-0.2*GE57)^2/(GC55+0.8*GE57)</f>
        <v>#N/A</v>
      </c>
      <c r="GG57" s="54" t="e">
        <f>IF(GC55&gt;0,GF57*GC57,0)</f>
        <v>#N/A</v>
      </c>
      <c r="GI57" s="51" t="s">
        <v>50</v>
      </c>
      <c r="GJ57" s="24">
        <f>$E$12</f>
        <v>0</v>
      </c>
      <c r="GK57" s="52">
        <f>GJ57/43560</f>
        <v>0</v>
      </c>
      <c r="GL57" s="53" t="e">
        <f>$O$4</f>
        <v>#N/A</v>
      </c>
      <c r="GM57" s="31" t="e">
        <f>(1000/GL57)-10</f>
        <v>#N/A</v>
      </c>
      <c r="GN57" s="31" t="e">
        <f>(GK55-0.2*GM57)^2/(GK55+0.8*GM57)</f>
        <v>#N/A</v>
      </c>
      <c r="GO57" s="54" t="e">
        <f>IF(GK55&gt;0,GN57*GK57,0)</f>
        <v>#N/A</v>
      </c>
    </row>
    <row r="58" spans="1:197" ht="14.25">
      <c r="A58" s="92"/>
      <c r="B58" s="92"/>
      <c r="C58" s="123"/>
      <c r="D58" s="192"/>
      <c r="E58" s="161" t="s">
        <v>120</v>
      </c>
      <c r="F58" s="192">
        <v>0.29</v>
      </c>
      <c r="G58" s="123"/>
      <c r="H58" s="92"/>
      <c r="I58" s="92"/>
      <c r="K58" s="23" t="s">
        <v>160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W58" s="51"/>
      <c r="X58" s="24"/>
      <c r="Y58" s="24"/>
      <c r="Z58" s="24"/>
      <c r="AA58" s="24"/>
      <c r="AB58" s="24"/>
      <c r="AC58" s="56"/>
      <c r="AE58" s="51"/>
      <c r="AF58" s="24"/>
      <c r="AG58" s="24"/>
      <c r="AH58" s="24"/>
      <c r="AI58" s="24"/>
      <c r="AJ58" s="24"/>
      <c r="AK58" s="56"/>
      <c r="AM58" s="51"/>
      <c r="AN58" s="24"/>
      <c r="AO58" s="24"/>
      <c r="AP58" s="24"/>
      <c r="AQ58" s="24"/>
      <c r="AR58" s="24"/>
      <c r="AS58" s="56"/>
      <c r="AU58" s="51"/>
      <c r="AV58" s="24"/>
      <c r="AW58" s="24"/>
      <c r="AX58" s="24"/>
      <c r="AY58" s="24"/>
      <c r="AZ58" s="24"/>
      <c r="BA58" s="56"/>
      <c r="BC58" s="51"/>
      <c r="BD58" s="24"/>
      <c r="BE58" s="24"/>
      <c r="BF58" s="24"/>
      <c r="BG58" s="24"/>
      <c r="BH58" s="24"/>
      <c r="BI58" s="56"/>
      <c r="BK58" s="51"/>
      <c r="BL58" s="24"/>
      <c r="BM58" s="24"/>
      <c r="BN58" s="24"/>
      <c r="BO58" s="24"/>
      <c r="BP58" s="24"/>
      <c r="BQ58" s="56"/>
      <c r="BS58" s="51"/>
      <c r="BT58" s="24"/>
      <c r="BU58" s="24"/>
      <c r="BV58" s="24"/>
      <c r="BW58" s="24"/>
      <c r="BX58" s="24"/>
      <c r="BY58" s="56"/>
      <c r="CA58" s="51"/>
      <c r="CB58" s="24"/>
      <c r="CC58" s="24"/>
      <c r="CD58" s="24"/>
      <c r="CE58" s="24"/>
      <c r="CF58" s="24"/>
      <c r="CG58" s="56"/>
      <c r="CI58" s="51"/>
      <c r="CJ58" s="24"/>
      <c r="CK58" s="24"/>
      <c r="CL58" s="24"/>
      <c r="CM58" s="24"/>
      <c r="CN58" s="24"/>
      <c r="CO58" s="56"/>
      <c r="CQ58" s="51"/>
      <c r="CR58" s="24"/>
      <c r="CS58" s="24"/>
      <c r="CT58" s="24"/>
      <c r="CU58" s="24"/>
      <c r="CV58" s="24"/>
      <c r="CW58" s="56"/>
      <c r="CY58" s="51"/>
      <c r="CZ58" s="24"/>
      <c r="DA58" s="24"/>
      <c r="DB58" s="24"/>
      <c r="DC58" s="24"/>
      <c r="DD58" s="24"/>
      <c r="DE58" s="56"/>
      <c r="DG58" s="51"/>
      <c r="DH58" s="24"/>
      <c r="DI58" s="24"/>
      <c r="DJ58" s="24"/>
      <c r="DK58" s="24"/>
      <c r="DL58" s="24"/>
      <c r="DM58" s="56"/>
      <c r="DO58" s="51"/>
      <c r="DP58" s="24"/>
      <c r="DQ58" s="24"/>
      <c r="DR58" s="24"/>
      <c r="DS58" s="24"/>
      <c r="DT58" s="24"/>
      <c r="DU58" s="56"/>
      <c r="DW58" s="51"/>
      <c r="DX58" s="24"/>
      <c r="DY58" s="24"/>
      <c r="DZ58" s="24"/>
      <c r="EA58" s="24"/>
      <c r="EB58" s="24"/>
      <c r="EC58" s="56"/>
      <c r="EE58" s="51"/>
      <c r="EF58" s="24"/>
      <c r="EG58" s="24"/>
      <c r="EH58" s="24"/>
      <c r="EI58" s="24"/>
      <c r="EJ58" s="24"/>
      <c r="EK58" s="56"/>
      <c r="EM58" s="51"/>
      <c r="EN58" s="24"/>
      <c r="EO58" s="24"/>
      <c r="EP58" s="24"/>
      <c r="EQ58" s="24"/>
      <c r="ER58" s="24"/>
      <c r="ES58" s="56"/>
      <c r="EU58" s="51"/>
      <c r="EV58" s="24"/>
      <c r="EW58" s="24"/>
      <c r="EX58" s="24"/>
      <c r="EY58" s="24"/>
      <c r="EZ58" s="24"/>
      <c r="FA58" s="56"/>
      <c r="FC58" s="51"/>
      <c r="FD58" s="24"/>
      <c r="FE58" s="24"/>
      <c r="FF58" s="24"/>
      <c r="FG58" s="24"/>
      <c r="FH58" s="24"/>
      <c r="FI58" s="56"/>
      <c r="FK58" s="51"/>
      <c r="FL58" s="24"/>
      <c r="FM58" s="24"/>
      <c r="FN58" s="24"/>
      <c r="FO58" s="24"/>
      <c r="FP58" s="24"/>
      <c r="FQ58" s="56"/>
      <c r="FS58" s="51"/>
      <c r="FT58" s="24"/>
      <c r="FU58" s="24"/>
      <c r="FV58" s="24"/>
      <c r="FW58" s="24"/>
      <c r="FX58" s="24"/>
      <c r="FY58" s="56"/>
      <c r="GA58" s="51"/>
      <c r="GB58" s="24"/>
      <c r="GC58" s="24"/>
      <c r="GD58" s="24"/>
      <c r="GE58" s="24"/>
      <c r="GF58" s="24"/>
      <c r="GG58" s="56"/>
      <c r="GI58" s="51"/>
      <c r="GJ58" s="24"/>
      <c r="GK58" s="24"/>
      <c r="GL58" s="24"/>
      <c r="GM58" s="24"/>
      <c r="GN58" s="24"/>
      <c r="GO58" s="56"/>
    </row>
    <row r="59" spans="1:197" ht="14.25">
      <c r="A59" s="92"/>
      <c r="B59" s="92"/>
      <c r="C59" s="182"/>
      <c r="D59" s="24"/>
      <c r="E59" s="96" t="s">
        <v>295</v>
      </c>
      <c r="F59" s="207">
        <v>0.44</v>
      </c>
      <c r="G59" s="123"/>
      <c r="H59" s="92"/>
      <c r="I59" s="92"/>
      <c r="K59" s="19" t="s">
        <v>161</v>
      </c>
      <c r="L59" s="20"/>
      <c r="M59" s="22"/>
      <c r="N59" s="23"/>
      <c r="O59" s="23"/>
      <c r="P59" s="23"/>
      <c r="Q59" s="23"/>
      <c r="R59" s="23"/>
      <c r="S59" s="23"/>
      <c r="T59" s="23"/>
      <c r="U59" s="23"/>
      <c r="W59" s="51" t="s">
        <v>53</v>
      </c>
      <c r="X59" s="24"/>
      <c r="Y59" s="24"/>
      <c r="Z59" s="24"/>
      <c r="AA59" s="24"/>
      <c r="AB59" s="24"/>
      <c r="AC59" s="56"/>
      <c r="AE59" s="51" t="s">
        <v>53</v>
      </c>
      <c r="AF59" s="24"/>
      <c r="AG59" s="24"/>
      <c r="AH59" s="24"/>
      <c r="AI59" s="24"/>
      <c r="AJ59" s="24"/>
      <c r="AK59" s="56"/>
      <c r="AM59" s="51" t="s">
        <v>53</v>
      </c>
      <c r="AN59" s="24"/>
      <c r="AO59" s="24"/>
      <c r="AP59" s="24"/>
      <c r="AQ59" s="24"/>
      <c r="AR59" s="24"/>
      <c r="AS59" s="56"/>
      <c r="AU59" s="51" t="s">
        <v>53</v>
      </c>
      <c r="AV59" s="24"/>
      <c r="AW59" s="24"/>
      <c r="AX59" s="24"/>
      <c r="AY59" s="24"/>
      <c r="AZ59" s="24"/>
      <c r="BA59" s="56"/>
      <c r="BC59" s="51" t="s">
        <v>53</v>
      </c>
      <c r="BD59" s="24"/>
      <c r="BE59" s="24"/>
      <c r="BF59" s="24"/>
      <c r="BG59" s="24"/>
      <c r="BH59" s="24"/>
      <c r="BI59" s="56"/>
      <c r="BK59" s="51" t="s">
        <v>53</v>
      </c>
      <c r="BL59" s="24"/>
      <c r="BM59" s="24"/>
      <c r="BN59" s="24"/>
      <c r="BO59" s="24"/>
      <c r="BP59" s="24"/>
      <c r="BQ59" s="56"/>
      <c r="BS59" s="51" t="s">
        <v>53</v>
      </c>
      <c r="BT59" s="24"/>
      <c r="BU59" s="24"/>
      <c r="BV59" s="24"/>
      <c r="BW59" s="24"/>
      <c r="BX59" s="24"/>
      <c r="BY59" s="56"/>
      <c r="CA59" s="51" t="s">
        <v>53</v>
      </c>
      <c r="CB59" s="24"/>
      <c r="CC59" s="24"/>
      <c r="CD59" s="24"/>
      <c r="CE59" s="24"/>
      <c r="CF59" s="24"/>
      <c r="CG59" s="56"/>
      <c r="CI59" s="51" t="s">
        <v>53</v>
      </c>
      <c r="CJ59" s="24"/>
      <c r="CK59" s="24"/>
      <c r="CL59" s="24"/>
      <c r="CM59" s="24"/>
      <c r="CN59" s="24"/>
      <c r="CO59" s="56"/>
      <c r="CQ59" s="51" t="s">
        <v>53</v>
      </c>
      <c r="CR59" s="24"/>
      <c r="CS59" s="24"/>
      <c r="CT59" s="24"/>
      <c r="CU59" s="24"/>
      <c r="CV59" s="24"/>
      <c r="CW59" s="56"/>
      <c r="CY59" s="51" t="s">
        <v>53</v>
      </c>
      <c r="CZ59" s="24"/>
      <c r="DA59" s="24"/>
      <c r="DB59" s="24"/>
      <c r="DC59" s="24"/>
      <c r="DD59" s="24"/>
      <c r="DE59" s="56"/>
      <c r="DG59" s="51" t="s">
        <v>53</v>
      </c>
      <c r="DH59" s="24"/>
      <c r="DI59" s="24"/>
      <c r="DJ59" s="24"/>
      <c r="DK59" s="24"/>
      <c r="DL59" s="24"/>
      <c r="DM59" s="56"/>
      <c r="DO59" s="51" t="s">
        <v>53</v>
      </c>
      <c r="DP59" s="24"/>
      <c r="DQ59" s="24"/>
      <c r="DR59" s="24"/>
      <c r="DS59" s="24"/>
      <c r="DT59" s="24"/>
      <c r="DU59" s="56"/>
      <c r="DW59" s="51" t="s">
        <v>53</v>
      </c>
      <c r="DX59" s="24"/>
      <c r="DY59" s="24"/>
      <c r="DZ59" s="24"/>
      <c r="EA59" s="24"/>
      <c r="EB59" s="24"/>
      <c r="EC59" s="56"/>
      <c r="EE59" s="51" t="s">
        <v>53</v>
      </c>
      <c r="EF59" s="24"/>
      <c r="EG59" s="24"/>
      <c r="EH59" s="24"/>
      <c r="EI59" s="24"/>
      <c r="EJ59" s="24"/>
      <c r="EK59" s="56"/>
      <c r="EM59" s="51" t="s">
        <v>53</v>
      </c>
      <c r="EN59" s="24"/>
      <c r="EO59" s="24"/>
      <c r="EP59" s="24"/>
      <c r="EQ59" s="24"/>
      <c r="ER59" s="24"/>
      <c r="ES59" s="56"/>
      <c r="EU59" s="51" t="s">
        <v>53</v>
      </c>
      <c r="EV59" s="24"/>
      <c r="EW59" s="24"/>
      <c r="EX59" s="24"/>
      <c r="EY59" s="24"/>
      <c r="EZ59" s="24"/>
      <c r="FA59" s="56"/>
      <c r="FC59" s="51" t="s">
        <v>53</v>
      </c>
      <c r="FD59" s="24"/>
      <c r="FE59" s="24"/>
      <c r="FF59" s="24"/>
      <c r="FG59" s="24"/>
      <c r="FH59" s="24"/>
      <c r="FI59" s="56"/>
      <c r="FK59" s="51" t="s">
        <v>53</v>
      </c>
      <c r="FL59" s="24"/>
      <c r="FM59" s="24"/>
      <c r="FN59" s="24"/>
      <c r="FO59" s="24"/>
      <c r="FP59" s="24"/>
      <c r="FQ59" s="56"/>
      <c r="FS59" s="51" t="s">
        <v>53</v>
      </c>
      <c r="FT59" s="24"/>
      <c r="FU59" s="24"/>
      <c r="FV59" s="24"/>
      <c r="FW59" s="24"/>
      <c r="FX59" s="24"/>
      <c r="FY59" s="56"/>
      <c r="GA59" s="51" t="s">
        <v>53</v>
      </c>
      <c r="GB59" s="24"/>
      <c r="GC59" s="24"/>
      <c r="GD59" s="24"/>
      <c r="GE59" s="24"/>
      <c r="GF59" s="24"/>
      <c r="GG59" s="56"/>
      <c r="GI59" s="51" t="s">
        <v>53</v>
      </c>
      <c r="GJ59" s="24"/>
      <c r="GK59" s="24"/>
      <c r="GL59" s="24"/>
      <c r="GM59" s="24"/>
      <c r="GN59" s="24"/>
      <c r="GO59" s="56"/>
    </row>
    <row r="60" spans="1:197" ht="14.25">
      <c r="A60" s="92"/>
      <c r="B60" s="92"/>
      <c r="C60" s="182"/>
      <c r="D60" s="24"/>
      <c r="E60" s="96" t="s">
        <v>294</v>
      </c>
      <c r="F60" s="207">
        <v>0.29</v>
      </c>
      <c r="G60" s="123"/>
      <c r="H60" s="92"/>
      <c r="I60" s="92"/>
      <c r="K60" s="32" t="s">
        <v>157</v>
      </c>
      <c r="L60" s="34"/>
      <c r="M60" s="35" t="s">
        <v>162</v>
      </c>
      <c r="N60" s="23"/>
      <c r="O60" s="23"/>
      <c r="P60" s="23"/>
      <c r="Q60" s="23"/>
      <c r="R60" s="23"/>
      <c r="S60" s="23"/>
      <c r="T60" s="23"/>
      <c r="U60" s="23"/>
      <c r="W60" s="51">
        <v>1</v>
      </c>
      <c r="X60" s="24">
        <f>$D$23</f>
        <v>0</v>
      </c>
      <c r="Y60" s="52">
        <f>X60/43560</f>
        <v>0</v>
      </c>
      <c r="Z60" s="24">
        <f>IF($D$24&lt;60,60,$D$24)</f>
        <v>60</v>
      </c>
      <c r="AA60" s="31">
        <f>(1000/Z60)-10</f>
        <v>6.666666666666668</v>
      </c>
      <c r="AB60" s="58">
        <f>IF(Y55-(0.2*AA60)&gt;0,(Y55-0.2*AA60)^2/(Y55+0.8*AA60),0)</f>
        <v>0</v>
      </c>
      <c r="AC60" s="54">
        <f>IF(Y55&gt;0,AB60*Y60,0)</f>
        <v>0</v>
      </c>
      <c r="AE60" s="51">
        <v>1</v>
      </c>
      <c r="AF60" s="24">
        <f>$D$23</f>
        <v>0</v>
      </c>
      <c r="AG60" s="52">
        <f>AF60/43560</f>
        <v>0</v>
      </c>
      <c r="AH60" s="24">
        <f>IF($D$24&lt;60,60,$D$24)</f>
        <v>60</v>
      </c>
      <c r="AI60" s="31">
        <f>(1000/AH60)-10</f>
        <v>6.666666666666668</v>
      </c>
      <c r="AJ60" s="58">
        <f>IF(AG55-(0.2*AI60)&gt;0,(AG55-0.2*AI60)^2/(AG55+0.8*AI60),0)</f>
        <v>0.22324170484520323</v>
      </c>
      <c r="AK60" s="54">
        <f>IF(AG55&gt;0,AJ60*AG60,0)</f>
        <v>0</v>
      </c>
      <c r="AM60" s="51">
        <v>1</v>
      </c>
      <c r="AN60" s="24">
        <f>$D$23</f>
        <v>0</v>
      </c>
      <c r="AO60" s="52">
        <f>AN60/43560</f>
        <v>0</v>
      </c>
      <c r="AP60" s="24">
        <f>IF($D$24&lt;60,60,$D$24)</f>
        <v>60</v>
      </c>
      <c r="AQ60" s="31">
        <f>(1000/AP60)-10</f>
        <v>6.666666666666668</v>
      </c>
      <c r="AR60" s="58">
        <f>IF(AO55-(0.2*AQ60)&gt;0,(AO55-0.2*AQ60)^2/(AO55+0.8*AQ60),0)</f>
        <v>0.010256410256410232</v>
      </c>
      <c r="AS60" s="54">
        <f>IF(AO55&gt;0,AR60*AO60,0)</f>
        <v>0</v>
      </c>
      <c r="AU60" s="51">
        <v>1</v>
      </c>
      <c r="AV60" s="24">
        <f>$D$23</f>
        <v>0</v>
      </c>
      <c r="AW60" s="52">
        <f>AV60/43560</f>
        <v>0</v>
      </c>
      <c r="AX60" s="24">
        <f>IF($D$24&lt;60,60,$D$24)</f>
        <v>60</v>
      </c>
      <c r="AY60" s="31">
        <f>(1000/AX60)-10</f>
        <v>6.666666666666668</v>
      </c>
      <c r="AZ60" s="58">
        <f>IF(AW55-(0.2*AY60)&gt;0,(AW55-0.2*AY60)^2/(AW55+0.8*AY60),0)</f>
        <v>0</v>
      </c>
      <c r="BA60" s="54">
        <f>IF(AW55&gt;0,AZ60*AW60,0)</f>
        <v>0</v>
      </c>
      <c r="BC60" s="51">
        <v>1</v>
      </c>
      <c r="BD60" s="24">
        <f>$D$23</f>
        <v>0</v>
      </c>
      <c r="BE60" s="52">
        <f>BD60/43560</f>
        <v>0</v>
      </c>
      <c r="BF60" s="24">
        <f>IF($D$24&lt;60,60,$D$24)</f>
        <v>60</v>
      </c>
      <c r="BG60" s="31">
        <f>(1000/BF60)-10</f>
        <v>6.666666666666668</v>
      </c>
      <c r="BH60" s="58">
        <f>IF(BE55-(0.2*BG60)&gt;0,(BE55-0.2*BG60)^2/(BE55+0.8*BG60),0)</f>
        <v>0</v>
      </c>
      <c r="BI60" s="54">
        <f>IF(BE55&gt;0,BH60*BE60,0)</f>
        <v>0</v>
      </c>
      <c r="BK60" s="51">
        <v>1</v>
      </c>
      <c r="BL60" s="24">
        <f>$D$23</f>
        <v>0</v>
      </c>
      <c r="BM60" s="52">
        <f>BL60/43560</f>
        <v>0</v>
      </c>
      <c r="BN60" s="24">
        <f>IF($D$24&lt;60,60,$D$24)</f>
        <v>60</v>
      </c>
      <c r="BO60" s="31">
        <f>(1000/BN60)-10</f>
        <v>6.666666666666668</v>
      </c>
      <c r="BP60" s="58">
        <f>IF(BM55-(0.2*BO60)&gt;0,(BM55-0.2*BO60)^2/(BM55+0.8*BO60),0)</f>
        <v>0</v>
      </c>
      <c r="BQ60" s="54">
        <f>IF(BM55&gt;0,BP60*BM60,0)</f>
        <v>0</v>
      </c>
      <c r="BS60" s="51">
        <v>1</v>
      </c>
      <c r="BT60" s="24">
        <f>$D$23</f>
        <v>0</v>
      </c>
      <c r="BU60" s="52">
        <f>BT60/43560</f>
        <v>0</v>
      </c>
      <c r="BV60" s="24">
        <f>IF($D$24&lt;60,60,$D$24)</f>
        <v>60</v>
      </c>
      <c r="BW60" s="31">
        <f>(1000/BV60)-10</f>
        <v>6.666666666666668</v>
      </c>
      <c r="BX60" s="58">
        <f>IF(BU55-(0.2*BW60)&gt;0,(BU55-0.2*BW60)^2/(BU55+0.8*BW60),0)</f>
        <v>0</v>
      </c>
      <c r="BY60" s="54">
        <f>IF(BU55&gt;0,BX60*BU60,0)</f>
        <v>0</v>
      </c>
      <c r="CA60" s="51">
        <v>1</v>
      </c>
      <c r="CB60" s="24">
        <f>$D$23</f>
        <v>0</v>
      </c>
      <c r="CC60" s="52">
        <f>CB60/43560</f>
        <v>0</v>
      </c>
      <c r="CD60" s="24">
        <f>IF($D$24&lt;60,60,$D$24)</f>
        <v>60</v>
      </c>
      <c r="CE60" s="31">
        <f>(1000/CD60)-10</f>
        <v>6.666666666666668</v>
      </c>
      <c r="CF60" s="58">
        <f>IF(CC55-(0.2*CE60)&gt;0,(CC55-0.2*CE60)^2/(CC55+0.8*CE60),0)</f>
        <v>0</v>
      </c>
      <c r="CG60" s="54">
        <f>IF(CC55&gt;0,CF60*CC60,0)</f>
        <v>0</v>
      </c>
      <c r="CI60" s="51">
        <v>1</v>
      </c>
      <c r="CJ60" s="24">
        <f>$D$23</f>
        <v>0</v>
      </c>
      <c r="CK60" s="52">
        <f>CJ60/43560</f>
        <v>0</v>
      </c>
      <c r="CL60" s="24">
        <f>IF($D$24&lt;60,60,$D$24)</f>
        <v>60</v>
      </c>
      <c r="CM60" s="31">
        <f>(1000/CL60)-10</f>
        <v>6.666666666666668</v>
      </c>
      <c r="CN60" s="58">
        <f>IF(CK55-(0.2*CM60)&gt;0,(CK55-0.2*CM60)^2/(CK55+0.8*CM60),0)</f>
        <v>0</v>
      </c>
      <c r="CO60" s="54">
        <f>IF(CK55&gt;0,CN60*CK60,0)</f>
        <v>0</v>
      </c>
      <c r="CQ60" s="51">
        <v>1</v>
      </c>
      <c r="CR60" s="24">
        <f>$D$23</f>
        <v>0</v>
      </c>
      <c r="CS60" s="52">
        <f>CR60/43560</f>
        <v>0</v>
      </c>
      <c r="CT60" s="24">
        <f>IF($D$24&lt;60,60,$D$24)</f>
        <v>60</v>
      </c>
      <c r="CU60" s="31">
        <f>(1000/CT60)-10</f>
        <v>6.666666666666668</v>
      </c>
      <c r="CV60" s="58">
        <f>IF(CS55-(0.2*CU60)&gt;0,(CS55-0.2*CU60)^2/(CS55+0.8*CU60),0)</f>
        <v>0</v>
      </c>
      <c r="CW60" s="54">
        <f>IF(CS55&gt;0,CV60*CS60,0)</f>
        <v>0</v>
      </c>
      <c r="CY60" s="51">
        <v>1</v>
      </c>
      <c r="CZ60" s="24">
        <f>$D$23</f>
        <v>0</v>
      </c>
      <c r="DA60" s="52">
        <f>CZ60/43560</f>
        <v>0</v>
      </c>
      <c r="DB60" s="24">
        <f>IF($D$24&lt;60,60,$D$24)</f>
        <v>60</v>
      </c>
      <c r="DC60" s="31">
        <f>(1000/DB60)-10</f>
        <v>6.666666666666668</v>
      </c>
      <c r="DD60" s="58">
        <f>IF(DA55-(0.2*DC60)&gt;0,(DA55-0.2*DC60)^2/(DA55+0.8*DC60),0)</f>
        <v>0</v>
      </c>
      <c r="DE60" s="54">
        <f>IF(DA55&gt;0,DD60*DA60,0)</f>
        <v>0</v>
      </c>
      <c r="DG60" s="51">
        <v>1</v>
      </c>
      <c r="DH60" s="24">
        <f>$D$23</f>
        <v>0</v>
      </c>
      <c r="DI60" s="52">
        <f>DH60/43560</f>
        <v>0</v>
      </c>
      <c r="DJ60" s="24">
        <f>IF($D$24&lt;60,60,$D$24)</f>
        <v>60</v>
      </c>
      <c r="DK60" s="31">
        <f>(1000/DJ60)-10</f>
        <v>6.666666666666668</v>
      </c>
      <c r="DL60" s="58">
        <f>IF(DI55-(0.2*DK60)&gt;0,(DI55-0.2*DK60)^2/(DI55+0.8*DK60),0)</f>
        <v>0</v>
      </c>
      <c r="DM60" s="54">
        <f>IF(DI55&gt;0,DL60*DI60,0)</f>
        <v>0</v>
      </c>
      <c r="DO60" s="51">
        <v>1</v>
      </c>
      <c r="DP60" s="24">
        <f>$D$23</f>
        <v>0</v>
      </c>
      <c r="DQ60" s="52">
        <f>DP60/43560</f>
        <v>0</v>
      </c>
      <c r="DR60" s="24">
        <f>IF($D$24&lt;60,60,$D$24)</f>
        <v>60</v>
      </c>
      <c r="DS60" s="31">
        <f>(1000/DR60)-10</f>
        <v>6.666666666666668</v>
      </c>
      <c r="DT60" s="58">
        <f>IF(DQ55-(0.2*DS60)&gt;0,(DQ55-0.2*DS60)^2/(DQ55+0.8*DS60),0)</f>
        <v>0</v>
      </c>
      <c r="DU60" s="54">
        <f>IF(DQ55&gt;0,DT60*DQ60,0)</f>
        <v>0</v>
      </c>
      <c r="DW60" s="51">
        <v>1</v>
      </c>
      <c r="DX60" s="24">
        <f>$D$23</f>
        <v>0</v>
      </c>
      <c r="DY60" s="52">
        <f>DX60/43560</f>
        <v>0</v>
      </c>
      <c r="DZ60" s="24">
        <f>IF($D$24&lt;60,60,$D$24)</f>
        <v>60</v>
      </c>
      <c r="EA60" s="31">
        <f>(1000/DZ60)-10</f>
        <v>6.666666666666668</v>
      </c>
      <c r="EB60" s="58">
        <f>IF(DY55-(0.2*EA60)&gt;0,(DY55-0.2*EA60)^2/(DY55+0.8*EA60),0)</f>
        <v>0</v>
      </c>
      <c r="EC60" s="54">
        <f>IF(DY55&gt;0,EB60*DY60,0)</f>
        <v>0</v>
      </c>
      <c r="EE60" s="51">
        <v>1</v>
      </c>
      <c r="EF60" s="24">
        <f>$D$23</f>
        <v>0</v>
      </c>
      <c r="EG60" s="52">
        <f>EF60/43560</f>
        <v>0</v>
      </c>
      <c r="EH60" s="24">
        <f>IF($D$24&lt;60,60,$D$24)</f>
        <v>60</v>
      </c>
      <c r="EI60" s="31">
        <f>(1000/EH60)-10</f>
        <v>6.666666666666668</v>
      </c>
      <c r="EJ60" s="58">
        <f>IF(EG55-(0.2*EI60)&gt;0,(EG55-0.2*EI60)^2/(EG55+0.8*EI60),0)</f>
        <v>0</v>
      </c>
      <c r="EK60" s="54">
        <f>IF(EG55&gt;0,EJ60*EG60,0)</f>
        <v>0</v>
      </c>
      <c r="EM60" s="51">
        <v>1</v>
      </c>
      <c r="EN60" s="24">
        <f>$D$23</f>
        <v>0</v>
      </c>
      <c r="EO60" s="52">
        <f>EN60/43560</f>
        <v>0</v>
      </c>
      <c r="EP60" s="24">
        <f>IF($D$24&lt;60,60,$D$24)</f>
        <v>60</v>
      </c>
      <c r="EQ60" s="31">
        <f>(1000/EP60)-10</f>
        <v>6.666666666666668</v>
      </c>
      <c r="ER60" s="58">
        <f>IF(EO55-(0.2*EQ60)&gt;0,(EO55-0.2*EQ60)^2/(EO55+0.8*EQ60),0)</f>
        <v>0</v>
      </c>
      <c r="ES60" s="54">
        <f>IF(EO55&gt;0,ER60*EO60,0)</f>
        <v>0</v>
      </c>
      <c r="EU60" s="51">
        <v>1</v>
      </c>
      <c r="EV60" s="24">
        <f>$D$23</f>
        <v>0</v>
      </c>
      <c r="EW60" s="52">
        <f>EV60/43560</f>
        <v>0</v>
      </c>
      <c r="EX60" s="24">
        <f>IF($D$24&lt;60,60,$D$24)</f>
        <v>60</v>
      </c>
      <c r="EY60" s="31">
        <f>(1000/EX60)-10</f>
        <v>6.666666666666668</v>
      </c>
      <c r="EZ60" s="58">
        <f>IF(EW55-(0.2*EY60)&gt;0,(EW55-0.2*EY60)^2/(EW55+0.8*EY60),0)</f>
        <v>0</v>
      </c>
      <c r="FA60" s="54">
        <f>IF(EW55&gt;0,EZ60*EW60,0)</f>
        <v>0</v>
      </c>
      <c r="FC60" s="51">
        <v>1</v>
      </c>
      <c r="FD60" s="24">
        <f>$D$23</f>
        <v>0</v>
      </c>
      <c r="FE60" s="52">
        <f>FD60/43560</f>
        <v>0</v>
      </c>
      <c r="FF60" s="24">
        <f>IF($D$24&lt;60,60,$D$24)</f>
        <v>60</v>
      </c>
      <c r="FG60" s="31">
        <f>(1000/FF60)-10</f>
        <v>6.666666666666668</v>
      </c>
      <c r="FH60" s="58">
        <f>IF(FE55-(0.2*FG60)&gt;0,(FE55-0.2*FG60)^2/(FE55+0.8*FG60),0)</f>
        <v>0</v>
      </c>
      <c r="FI60" s="54">
        <f>IF(FE55&gt;0,FH60*FE60,0)</f>
        <v>0</v>
      </c>
      <c r="FK60" s="51">
        <v>1</v>
      </c>
      <c r="FL60" s="24">
        <f>$D$23</f>
        <v>0</v>
      </c>
      <c r="FM60" s="52">
        <f>FL60/43560</f>
        <v>0</v>
      </c>
      <c r="FN60" s="24">
        <f>IF($D$24&lt;60,60,$D$24)</f>
        <v>60</v>
      </c>
      <c r="FO60" s="31">
        <f>(1000/FN60)-10</f>
        <v>6.666666666666668</v>
      </c>
      <c r="FP60" s="58">
        <f>IF(FM55-(0.2*FO60)&gt;0,(FM55-0.2*FO60)^2/(FM55+0.8*FO60),0)</f>
        <v>0</v>
      </c>
      <c r="FQ60" s="54">
        <f>IF(FM55&gt;0,FP60*FM60,0)</f>
        <v>0</v>
      </c>
      <c r="FS60" s="51">
        <v>1</v>
      </c>
      <c r="FT60" s="24">
        <f>$D$23</f>
        <v>0</v>
      </c>
      <c r="FU60" s="52">
        <f>FT60/43560</f>
        <v>0</v>
      </c>
      <c r="FV60" s="24">
        <f>IF($D$24&lt;60,60,$D$24)</f>
        <v>60</v>
      </c>
      <c r="FW60" s="31">
        <f>(1000/FV60)-10</f>
        <v>6.666666666666668</v>
      </c>
      <c r="FX60" s="58">
        <f>IF(FU55-(0.2*FW60)&gt;0,(FU55-0.2*FW60)^2/(FU55+0.8*FW60),0)</f>
        <v>0</v>
      </c>
      <c r="FY60" s="54">
        <f>IF(FU55&gt;0,FX60*FU60,0)</f>
        <v>0</v>
      </c>
      <c r="GA60" s="51">
        <v>1</v>
      </c>
      <c r="GB60" s="24">
        <f>$D$23</f>
        <v>0</v>
      </c>
      <c r="GC60" s="52">
        <f>GB60/43560</f>
        <v>0</v>
      </c>
      <c r="GD60" s="24">
        <f>IF($D$24&lt;60,60,$D$24)</f>
        <v>60</v>
      </c>
      <c r="GE60" s="31">
        <f>(1000/GD60)-10</f>
        <v>6.666666666666668</v>
      </c>
      <c r="GF60" s="58">
        <f>IF(GC55-(0.2*GE60)&gt;0,(GC55-0.2*GE60)^2/(GC55+0.8*GE60),0)</f>
        <v>0</v>
      </c>
      <c r="GG60" s="54">
        <f>IF(GC55&gt;0,GF60*GC60,0)</f>
        <v>0</v>
      </c>
      <c r="GI60" s="51">
        <v>1</v>
      </c>
      <c r="GJ60" s="24">
        <f>$D$23</f>
        <v>0</v>
      </c>
      <c r="GK60" s="52">
        <f>GJ60/43560</f>
        <v>0</v>
      </c>
      <c r="GL60" s="24">
        <f>IF($D$24&lt;60,60,$D$24)</f>
        <v>60</v>
      </c>
      <c r="GM60" s="31">
        <f>(1000/GL60)-10</f>
        <v>6.666666666666668</v>
      </c>
      <c r="GN60" s="58">
        <f>IF(GK55-(0.2*GM60)&gt;0,(GK55-0.2*GM60)^2/(GK55+0.8*GM60),0)</f>
        <v>0</v>
      </c>
      <c r="GO60" s="54">
        <f>IF(GK55&gt;0,GN60*GK60,0)</f>
        <v>0</v>
      </c>
    </row>
    <row r="61" spans="1:197" ht="14.25">
      <c r="A61" s="92"/>
      <c r="B61" s="92"/>
      <c r="C61" s="182"/>
      <c r="D61" s="192"/>
      <c r="E61" s="161" t="s">
        <v>125</v>
      </c>
      <c r="F61" s="192">
        <v>0.22</v>
      </c>
      <c r="G61" s="123"/>
      <c r="H61" s="92"/>
      <c r="I61" s="92"/>
      <c r="K61" s="97" t="e">
        <f>P56</f>
        <v>#DIV/0!</v>
      </c>
      <c r="L61" s="61" t="e">
        <f>Q14</f>
        <v>#N/A</v>
      </c>
      <c r="M61" s="62" t="e">
        <f>$K$61*$L$61*0.227</f>
        <v>#DIV/0!</v>
      </c>
      <c r="N61" s="23"/>
      <c r="O61" s="23"/>
      <c r="P61" s="23"/>
      <c r="Q61" s="23"/>
      <c r="R61" s="23"/>
      <c r="S61" s="23"/>
      <c r="T61" s="23"/>
      <c r="U61" s="23"/>
      <c r="W61" s="51">
        <v>2</v>
      </c>
      <c r="X61" s="24">
        <f>$F$23</f>
        <v>0</v>
      </c>
      <c r="Y61" s="52">
        <f>X61/43560</f>
        <v>0</v>
      </c>
      <c r="Z61" s="24">
        <f>IF($F$24&lt;60,60,$F$24)</f>
        <v>60</v>
      </c>
      <c r="AA61" s="31">
        <f>(1000/Z61)-10</f>
        <v>6.666666666666668</v>
      </c>
      <c r="AB61" s="58">
        <f>IF(Y55-(0.2*AA61)&gt;0,(Y55-0.2*AA61)^2/(Y55+0.8*AA61),0)</f>
        <v>0</v>
      </c>
      <c r="AC61" s="54">
        <f>IF(Y55&gt;0,AB61*Y61,0)</f>
        <v>0</v>
      </c>
      <c r="AE61" s="51">
        <v>2</v>
      </c>
      <c r="AF61" s="24">
        <f>$F$23</f>
        <v>0</v>
      </c>
      <c r="AG61" s="52">
        <f>AF61/43560</f>
        <v>0</v>
      </c>
      <c r="AH61" s="24">
        <f>IF($F$24&lt;60,60,$F$24)</f>
        <v>60</v>
      </c>
      <c r="AI61" s="31">
        <f>(1000/AH61)-10</f>
        <v>6.666666666666668</v>
      </c>
      <c r="AJ61" s="58">
        <f>IF(AG55-(0.2*AI61)&gt;0,(AG55-0.2*AI61)^2/(AG55+0.8*AI61),0)</f>
        <v>0.22324170484520323</v>
      </c>
      <c r="AK61" s="54">
        <f>IF(AG55&gt;0,AJ61*AG61,0)</f>
        <v>0</v>
      </c>
      <c r="AM61" s="51">
        <v>2</v>
      </c>
      <c r="AN61" s="24">
        <f>$F$23</f>
        <v>0</v>
      </c>
      <c r="AO61" s="52">
        <f>AN61/43560</f>
        <v>0</v>
      </c>
      <c r="AP61" s="24">
        <f>IF($F$24&lt;60,60,$F$24)</f>
        <v>60</v>
      </c>
      <c r="AQ61" s="31">
        <f>(1000/AP61)-10</f>
        <v>6.666666666666668</v>
      </c>
      <c r="AR61" s="58">
        <f>IF(AO55-(0.2*AQ61)&gt;0,(AO55-0.2*AQ61)^2/(AO55+0.8*AQ61),0)</f>
        <v>0.010256410256410232</v>
      </c>
      <c r="AS61" s="54">
        <f>IF(AO55&gt;0,AR61*AO61,0)</f>
        <v>0</v>
      </c>
      <c r="AU61" s="51">
        <v>2</v>
      </c>
      <c r="AV61" s="24">
        <f>$F$23</f>
        <v>0</v>
      </c>
      <c r="AW61" s="52">
        <f>AV61/43560</f>
        <v>0</v>
      </c>
      <c r="AX61" s="24">
        <f>IF($F$24&lt;60,60,$F$24)</f>
        <v>60</v>
      </c>
      <c r="AY61" s="31">
        <f>(1000/AX61)-10</f>
        <v>6.666666666666668</v>
      </c>
      <c r="AZ61" s="58">
        <f>IF(AW55-(0.2*AY61)&gt;0,(AW55-0.2*AY61)^2/(AW55+0.8*AY61),0)</f>
        <v>0</v>
      </c>
      <c r="BA61" s="54">
        <f>IF(AW55&gt;0,AZ61*AW61,0)</f>
        <v>0</v>
      </c>
      <c r="BC61" s="51">
        <v>2</v>
      </c>
      <c r="BD61" s="24">
        <f>$F$23</f>
        <v>0</v>
      </c>
      <c r="BE61" s="52">
        <f>BD61/43560</f>
        <v>0</v>
      </c>
      <c r="BF61" s="24">
        <f>IF($F$24&lt;60,60,$F$24)</f>
        <v>60</v>
      </c>
      <c r="BG61" s="31">
        <f>(1000/BF61)-10</f>
        <v>6.666666666666668</v>
      </c>
      <c r="BH61" s="58">
        <f>IF(BE55-(0.2*BG61)&gt;0,(BE55-0.2*BG61)^2/(BE55+0.8*BG61),0)</f>
        <v>0</v>
      </c>
      <c r="BI61" s="54">
        <f>IF(BE55&gt;0,BH61*BE61,0)</f>
        <v>0</v>
      </c>
      <c r="BK61" s="51">
        <v>2</v>
      </c>
      <c r="BL61" s="24">
        <f>$F$23</f>
        <v>0</v>
      </c>
      <c r="BM61" s="52">
        <f>BL61/43560</f>
        <v>0</v>
      </c>
      <c r="BN61" s="24">
        <f>IF($F$24&lt;60,60,$F$24)</f>
        <v>60</v>
      </c>
      <c r="BO61" s="31">
        <f>(1000/BN61)-10</f>
        <v>6.666666666666668</v>
      </c>
      <c r="BP61" s="58">
        <f>IF(BM55-(0.2*BO61)&gt;0,(BM55-0.2*BO61)^2/(BM55+0.8*BO61),0)</f>
        <v>0</v>
      </c>
      <c r="BQ61" s="54">
        <f>IF(BM55&gt;0,BP61*BM61,0)</f>
        <v>0</v>
      </c>
      <c r="BS61" s="51">
        <v>2</v>
      </c>
      <c r="BT61" s="24">
        <f>$F$23</f>
        <v>0</v>
      </c>
      <c r="BU61" s="52">
        <f>BT61/43560</f>
        <v>0</v>
      </c>
      <c r="BV61" s="24">
        <f>IF($F$24&lt;60,60,$F$24)</f>
        <v>60</v>
      </c>
      <c r="BW61" s="31">
        <f>(1000/BV61)-10</f>
        <v>6.666666666666668</v>
      </c>
      <c r="BX61" s="58">
        <f>IF(BU55-(0.2*BW61)&gt;0,(BU55-0.2*BW61)^2/(BU55+0.8*BW61),0)</f>
        <v>0</v>
      </c>
      <c r="BY61" s="54">
        <f>IF(BU55&gt;0,BX61*BU61,0)</f>
        <v>0</v>
      </c>
      <c r="CA61" s="51">
        <v>2</v>
      </c>
      <c r="CB61" s="24">
        <f>$F$23</f>
        <v>0</v>
      </c>
      <c r="CC61" s="52">
        <f>CB61/43560</f>
        <v>0</v>
      </c>
      <c r="CD61" s="24">
        <f>IF($F$24&lt;60,60,$F$24)</f>
        <v>60</v>
      </c>
      <c r="CE61" s="31">
        <f>(1000/CD61)-10</f>
        <v>6.666666666666668</v>
      </c>
      <c r="CF61" s="58">
        <f>IF(CC55-(0.2*CE61)&gt;0,(CC55-0.2*CE61)^2/(CC55+0.8*CE61),0)</f>
        <v>0</v>
      </c>
      <c r="CG61" s="54">
        <f>IF(CC55&gt;0,CF61*CC61,0)</f>
        <v>0</v>
      </c>
      <c r="CI61" s="51">
        <v>2</v>
      </c>
      <c r="CJ61" s="24">
        <f>$F$23</f>
        <v>0</v>
      </c>
      <c r="CK61" s="52">
        <f>CJ61/43560</f>
        <v>0</v>
      </c>
      <c r="CL61" s="24">
        <f>IF($F$24&lt;60,60,$F$24)</f>
        <v>60</v>
      </c>
      <c r="CM61" s="31">
        <f>(1000/CL61)-10</f>
        <v>6.666666666666668</v>
      </c>
      <c r="CN61" s="58">
        <f>IF(CK55-(0.2*CM61)&gt;0,(CK55-0.2*CM61)^2/(CK55+0.8*CM61),0)</f>
        <v>0</v>
      </c>
      <c r="CO61" s="54">
        <f>IF(CK55&gt;0,CN61*CK61,0)</f>
        <v>0</v>
      </c>
      <c r="CQ61" s="51">
        <v>2</v>
      </c>
      <c r="CR61" s="24">
        <f>$F$23</f>
        <v>0</v>
      </c>
      <c r="CS61" s="52">
        <f>CR61/43560</f>
        <v>0</v>
      </c>
      <c r="CT61" s="24">
        <f>IF($F$24&lt;60,60,$F$24)</f>
        <v>60</v>
      </c>
      <c r="CU61" s="31">
        <f>(1000/CT61)-10</f>
        <v>6.666666666666668</v>
      </c>
      <c r="CV61" s="58">
        <f>IF(CS55-(0.2*CU61)&gt;0,(CS55-0.2*CU61)^2/(CS55+0.8*CU61),0)</f>
        <v>0</v>
      </c>
      <c r="CW61" s="54">
        <f>IF(CS55&gt;0,CV61*CS61,0)</f>
        <v>0</v>
      </c>
      <c r="CY61" s="51">
        <v>2</v>
      </c>
      <c r="CZ61" s="24">
        <f>$F$23</f>
        <v>0</v>
      </c>
      <c r="DA61" s="52">
        <f>CZ61/43560</f>
        <v>0</v>
      </c>
      <c r="DB61" s="24">
        <f>IF($F$24&lt;60,60,$F$24)</f>
        <v>60</v>
      </c>
      <c r="DC61" s="31">
        <f>(1000/DB61)-10</f>
        <v>6.666666666666668</v>
      </c>
      <c r="DD61" s="58">
        <f>IF(DA55-(0.2*DC61)&gt;0,(DA55-0.2*DC61)^2/(DA55+0.8*DC61),0)</f>
        <v>0</v>
      </c>
      <c r="DE61" s="54">
        <f>IF(DA55&gt;0,DD61*DA61,0)</f>
        <v>0</v>
      </c>
      <c r="DG61" s="51">
        <v>2</v>
      </c>
      <c r="DH61" s="24">
        <f>$F$23</f>
        <v>0</v>
      </c>
      <c r="DI61" s="52">
        <f>DH61/43560</f>
        <v>0</v>
      </c>
      <c r="DJ61" s="24">
        <f>IF($F$24&lt;60,60,$F$24)</f>
        <v>60</v>
      </c>
      <c r="DK61" s="31">
        <f>(1000/DJ61)-10</f>
        <v>6.666666666666668</v>
      </c>
      <c r="DL61" s="58">
        <f>IF(DI55-(0.2*DK61)&gt;0,(DI55-0.2*DK61)^2/(DI55+0.8*DK61),0)</f>
        <v>0</v>
      </c>
      <c r="DM61" s="54">
        <f>IF(DI55&gt;0,DL61*DI61,0)</f>
        <v>0</v>
      </c>
      <c r="DO61" s="51">
        <v>2</v>
      </c>
      <c r="DP61" s="24">
        <f>$F$23</f>
        <v>0</v>
      </c>
      <c r="DQ61" s="52">
        <f>DP61/43560</f>
        <v>0</v>
      </c>
      <c r="DR61" s="24">
        <f>IF($F$24&lt;60,60,$F$24)</f>
        <v>60</v>
      </c>
      <c r="DS61" s="31">
        <f>(1000/DR61)-10</f>
        <v>6.666666666666668</v>
      </c>
      <c r="DT61" s="58">
        <f>IF(DQ55-(0.2*DS61)&gt;0,(DQ55-0.2*DS61)^2/(DQ55+0.8*DS61),0)</f>
        <v>0</v>
      </c>
      <c r="DU61" s="54">
        <f>IF(DQ55&gt;0,DT61*DQ61,0)</f>
        <v>0</v>
      </c>
      <c r="DW61" s="51">
        <v>2</v>
      </c>
      <c r="DX61" s="24">
        <f>$F$23</f>
        <v>0</v>
      </c>
      <c r="DY61" s="52">
        <f>DX61/43560</f>
        <v>0</v>
      </c>
      <c r="DZ61" s="24">
        <f>IF($F$24&lt;60,60,$F$24)</f>
        <v>60</v>
      </c>
      <c r="EA61" s="31">
        <f>(1000/DZ61)-10</f>
        <v>6.666666666666668</v>
      </c>
      <c r="EB61" s="58">
        <f>IF(DY55-(0.2*EA61)&gt;0,(DY55-0.2*EA61)^2/(DY55+0.8*EA61),0)</f>
        <v>0</v>
      </c>
      <c r="EC61" s="54">
        <f>IF(DY55&gt;0,EB61*DY61,0)</f>
        <v>0</v>
      </c>
      <c r="EE61" s="51">
        <v>2</v>
      </c>
      <c r="EF61" s="24">
        <f>$F$23</f>
        <v>0</v>
      </c>
      <c r="EG61" s="52">
        <f>EF61/43560</f>
        <v>0</v>
      </c>
      <c r="EH61" s="24">
        <f>IF($F$24&lt;60,60,$F$24)</f>
        <v>60</v>
      </c>
      <c r="EI61" s="31">
        <f>(1000/EH61)-10</f>
        <v>6.666666666666668</v>
      </c>
      <c r="EJ61" s="58">
        <f>IF(EG55-(0.2*EI61)&gt;0,(EG55-0.2*EI61)^2/(EG55+0.8*EI61),0)</f>
        <v>0</v>
      </c>
      <c r="EK61" s="54">
        <f>IF(EG55&gt;0,EJ61*EG61,0)</f>
        <v>0</v>
      </c>
      <c r="EM61" s="51">
        <v>2</v>
      </c>
      <c r="EN61" s="24">
        <f>$F$23</f>
        <v>0</v>
      </c>
      <c r="EO61" s="52">
        <f>EN61/43560</f>
        <v>0</v>
      </c>
      <c r="EP61" s="24">
        <f>IF($F$24&lt;60,60,$F$24)</f>
        <v>60</v>
      </c>
      <c r="EQ61" s="31">
        <f>(1000/EP61)-10</f>
        <v>6.666666666666668</v>
      </c>
      <c r="ER61" s="58">
        <f>IF(EO55-(0.2*EQ61)&gt;0,(EO55-0.2*EQ61)^2/(EO55+0.8*EQ61),0)</f>
        <v>0</v>
      </c>
      <c r="ES61" s="54">
        <f>IF(EO55&gt;0,ER61*EO61,0)</f>
        <v>0</v>
      </c>
      <c r="EU61" s="51">
        <v>2</v>
      </c>
      <c r="EV61" s="24">
        <f>$F$23</f>
        <v>0</v>
      </c>
      <c r="EW61" s="52">
        <f>EV61/43560</f>
        <v>0</v>
      </c>
      <c r="EX61" s="24">
        <f>IF($F$24&lt;60,60,$F$24)</f>
        <v>60</v>
      </c>
      <c r="EY61" s="31">
        <f>(1000/EX61)-10</f>
        <v>6.666666666666668</v>
      </c>
      <c r="EZ61" s="58">
        <f>IF(EW55-(0.2*EY61)&gt;0,(EW55-0.2*EY61)^2/(EW55+0.8*EY61),0)</f>
        <v>0</v>
      </c>
      <c r="FA61" s="54">
        <f>IF(EW55&gt;0,EZ61*EW61,0)</f>
        <v>0</v>
      </c>
      <c r="FC61" s="51">
        <v>2</v>
      </c>
      <c r="FD61" s="24">
        <f>$F$23</f>
        <v>0</v>
      </c>
      <c r="FE61" s="52">
        <f>FD61/43560</f>
        <v>0</v>
      </c>
      <c r="FF61" s="24">
        <f>IF($F$24&lt;60,60,$F$24)</f>
        <v>60</v>
      </c>
      <c r="FG61" s="31">
        <f>(1000/FF61)-10</f>
        <v>6.666666666666668</v>
      </c>
      <c r="FH61" s="58">
        <f>IF(FE55-(0.2*FG61)&gt;0,(FE55-0.2*FG61)^2/(FE55+0.8*FG61),0)</f>
        <v>0</v>
      </c>
      <c r="FI61" s="54">
        <f>IF(FE55&gt;0,FH61*FE61,0)</f>
        <v>0</v>
      </c>
      <c r="FK61" s="51">
        <v>2</v>
      </c>
      <c r="FL61" s="24">
        <f>$F$23</f>
        <v>0</v>
      </c>
      <c r="FM61" s="52">
        <f>FL61/43560</f>
        <v>0</v>
      </c>
      <c r="FN61" s="24">
        <f>IF($F$24&lt;60,60,$F$24)</f>
        <v>60</v>
      </c>
      <c r="FO61" s="31">
        <f>(1000/FN61)-10</f>
        <v>6.666666666666668</v>
      </c>
      <c r="FP61" s="58">
        <f>IF(FM55-(0.2*FO61)&gt;0,(FM55-0.2*FO61)^2/(FM55+0.8*FO61),0)</f>
        <v>0</v>
      </c>
      <c r="FQ61" s="54">
        <f>IF(FM55&gt;0,FP61*FM61,0)</f>
        <v>0</v>
      </c>
      <c r="FS61" s="51">
        <v>2</v>
      </c>
      <c r="FT61" s="24">
        <f>$F$23</f>
        <v>0</v>
      </c>
      <c r="FU61" s="52">
        <f>FT61/43560</f>
        <v>0</v>
      </c>
      <c r="FV61" s="24">
        <f>IF($F$24&lt;60,60,$F$24)</f>
        <v>60</v>
      </c>
      <c r="FW61" s="31">
        <f>(1000/FV61)-10</f>
        <v>6.666666666666668</v>
      </c>
      <c r="FX61" s="58">
        <f>IF(FU55-(0.2*FW61)&gt;0,(FU55-0.2*FW61)^2/(FU55+0.8*FW61),0)</f>
        <v>0</v>
      </c>
      <c r="FY61" s="54">
        <f>IF(FU55&gt;0,FX61*FU61,0)</f>
        <v>0</v>
      </c>
      <c r="GA61" s="51">
        <v>2</v>
      </c>
      <c r="GB61" s="24">
        <f>$F$23</f>
        <v>0</v>
      </c>
      <c r="GC61" s="52">
        <f>GB61/43560</f>
        <v>0</v>
      </c>
      <c r="GD61" s="24">
        <f>IF($F$24&lt;60,60,$F$24)</f>
        <v>60</v>
      </c>
      <c r="GE61" s="31">
        <f>(1000/GD61)-10</f>
        <v>6.666666666666668</v>
      </c>
      <c r="GF61" s="58">
        <f>IF(GC55-(0.2*GE61)&gt;0,(GC55-0.2*GE61)^2/(GC55+0.8*GE61),0)</f>
        <v>0</v>
      </c>
      <c r="GG61" s="54">
        <f>IF(GC55&gt;0,GF61*GC61,0)</f>
        <v>0</v>
      </c>
      <c r="GI61" s="51">
        <v>2</v>
      </c>
      <c r="GJ61" s="24">
        <f>$F$23</f>
        <v>0</v>
      </c>
      <c r="GK61" s="52">
        <f>GJ61/43560</f>
        <v>0</v>
      </c>
      <c r="GL61" s="24">
        <f>IF($F$24&lt;60,60,$F$24)</f>
        <v>60</v>
      </c>
      <c r="GM61" s="31">
        <f>(1000/GL61)-10</f>
        <v>6.666666666666668</v>
      </c>
      <c r="GN61" s="58">
        <f>IF(GK55-(0.2*GM61)&gt;0,(GK55-0.2*GM61)^2/(GK55+0.8*GM61),0)</f>
        <v>0</v>
      </c>
      <c r="GO61" s="54">
        <f>IF(GK55&gt;0,GN61*GK61,0)</f>
        <v>0</v>
      </c>
    </row>
    <row r="62" spans="1:197" ht="14.25">
      <c r="A62" s="92"/>
      <c r="B62" s="92"/>
      <c r="C62" s="123"/>
      <c r="D62" s="192"/>
      <c r="E62" s="161" t="s">
        <v>128</v>
      </c>
      <c r="F62" s="192">
        <v>0.15</v>
      </c>
      <c r="G62" s="123"/>
      <c r="H62" s="92"/>
      <c r="I62" s="92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W62" s="63" t="s">
        <v>58</v>
      </c>
      <c r="X62" s="64">
        <f>$D$26</f>
        <v>0</v>
      </c>
      <c r="Y62" s="65">
        <f>X62/43560</f>
        <v>0</v>
      </c>
      <c r="Z62" s="64">
        <v>98</v>
      </c>
      <c r="AA62" s="66">
        <f>(1000/Z62)-10</f>
        <v>0.204081632653061</v>
      </c>
      <c r="AB62" s="66">
        <f>(Y55-0.2*AA62)^2/(Y55+0.8*AA62)</f>
        <v>0.06975464343040594</v>
      </c>
      <c r="AC62" s="67">
        <f>IF(Y55&gt;0,AB62*Y62,0)</f>
        <v>0</v>
      </c>
      <c r="AE62" s="63" t="s">
        <v>58</v>
      </c>
      <c r="AF62" s="64">
        <f>$D$26</f>
        <v>0</v>
      </c>
      <c r="AG62" s="65">
        <f>AF62/43560</f>
        <v>0</v>
      </c>
      <c r="AH62" s="64">
        <v>98</v>
      </c>
      <c r="AI62" s="66">
        <f>(1000/AH62)-10</f>
        <v>0.204081632653061</v>
      </c>
      <c r="AJ62" s="66">
        <f>(AG55-0.2*AI62)^2/(AG55+0.8*AI62)</f>
        <v>2.4398021512141557</v>
      </c>
      <c r="AK62" s="67">
        <f>IF(AG55&gt;0,AJ62*AG62,0)</f>
        <v>0</v>
      </c>
      <c r="AM62" s="63" t="s">
        <v>58</v>
      </c>
      <c r="AN62" s="64">
        <f>$D$26</f>
        <v>0</v>
      </c>
      <c r="AO62" s="65">
        <f>AN62/43560</f>
        <v>0</v>
      </c>
      <c r="AP62" s="64">
        <v>98</v>
      </c>
      <c r="AQ62" s="66">
        <f>(1000/AP62)-10</f>
        <v>0.204081632653061</v>
      </c>
      <c r="AR62" s="66">
        <f>(AO55-0.2*AQ62)^2/(AO55+0.8*AQ62)</f>
        <v>1.3787226001511719</v>
      </c>
      <c r="AS62" s="67">
        <f>IF(AO55&gt;0,AR62*AO62,0)</f>
        <v>0</v>
      </c>
      <c r="AU62" s="63" t="s">
        <v>58</v>
      </c>
      <c r="AV62" s="64">
        <f>$D$26</f>
        <v>0</v>
      </c>
      <c r="AW62" s="65">
        <f>AV62/43560</f>
        <v>0</v>
      </c>
      <c r="AX62" s="64">
        <v>98</v>
      </c>
      <c r="AY62" s="66">
        <f>(1000/AX62)-10</f>
        <v>0.204081632653061</v>
      </c>
      <c r="AZ62" s="66">
        <f>(AW55-0.2*AY62)^2/(AW55+0.8*AY62)</f>
        <v>0.19469706135184195</v>
      </c>
      <c r="BA62" s="67">
        <f>IF(AW55&gt;0,AZ62*AW62,0)</f>
        <v>0</v>
      </c>
      <c r="BC62" s="63" t="s">
        <v>58</v>
      </c>
      <c r="BD62" s="64">
        <f>$D$26</f>
        <v>0</v>
      </c>
      <c r="BE62" s="65">
        <f>BD62/43560</f>
        <v>0</v>
      </c>
      <c r="BF62" s="64">
        <v>98</v>
      </c>
      <c r="BG62" s="66">
        <f>(1000/BF62)-10</f>
        <v>0.204081632653061</v>
      </c>
      <c r="BH62" s="66">
        <f>(BE55-0.2*BG62)^2/(BE55+0.8*BG62)</f>
        <v>0.12123093043152268</v>
      </c>
      <c r="BI62" s="67">
        <f>IF(BE55&gt;0,BH62*BE62,0)</f>
        <v>0</v>
      </c>
      <c r="BK62" s="63" t="s">
        <v>58</v>
      </c>
      <c r="BL62" s="64">
        <f>$D$26</f>
        <v>0</v>
      </c>
      <c r="BM62" s="65">
        <f>BL62/43560</f>
        <v>0</v>
      </c>
      <c r="BN62" s="64">
        <v>98</v>
      </c>
      <c r="BO62" s="66">
        <f>(1000/BN62)-10</f>
        <v>0.204081632653061</v>
      </c>
      <c r="BP62" s="66">
        <f>(BM55-0.2*BO62)^2/(BM55+0.8*BO62)</f>
        <v>0.013304856826451538</v>
      </c>
      <c r="BQ62" s="67">
        <f>IF(BM55&gt;0,BP62*BM62,0)</f>
        <v>0</v>
      </c>
      <c r="BS62" s="63" t="s">
        <v>58</v>
      </c>
      <c r="BT62" s="64">
        <f>$D$26</f>
        <v>0</v>
      </c>
      <c r="BU62" s="65">
        <f>BT62/43560</f>
        <v>0</v>
      </c>
      <c r="BV62" s="64">
        <v>98</v>
      </c>
      <c r="BW62" s="66">
        <f>(1000/BV62)-10</f>
        <v>0.204081632653061</v>
      </c>
      <c r="BX62" s="66">
        <f>(BU55-0.2*BW62)^2/(BU55+0.8*BW62)</f>
        <v>0.032438267366165896</v>
      </c>
      <c r="BY62" s="67">
        <f>IF(BU55&gt;0,BX62*BU62,0)</f>
        <v>0</v>
      </c>
      <c r="CA62" s="63" t="s">
        <v>58</v>
      </c>
      <c r="CB62" s="64">
        <f>$D$26</f>
        <v>0</v>
      </c>
      <c r="CC62" s="65">
        <f>CB62/43560</f>
        <v>0</v>
      </c>
      <c r="CD62" s="64">
        <v>98</v>
      </c>
      <c r="CE62" s="66">
        <f>(1000/CD62)-10</f>
        <v>0.204081632653061</v>
      </c>
      <c r="CF62" s="66">
        <f>(CC55-0.2*CE62)^2/(CC55+0.8*CE62)</f>
        <v>0.2203811380693924</v>
      </c>
      <c r="CG62" s="67">
        <f>IF(CC55&gt;0,CF62*CC62,0)</f>
        <v>0</v>
      </c>
      <c r="CI62" s="63" t="s">
        <v>58</v>
      </c>
      <c r="CJ62" s="64">
        <f>$D$26</f>
        <v>0</v>
      </c>
      <c r="CK62" s="65">
        <f>CJ62/43560</f>
        <v>0</v>
      </c>
      <c r="CL62" s="64">
        <v>98</v>
      </c>
      <c r="CM62" s="66">
        <f>(1000/CL62)-10</f>
        <v>0.204081632653061</v>
      </c>
      <c r="CN62" s="66">
        <f>(CK55-0.2*CM62)^2/(CK55+0.8*CM62)</f>
        <v>0.06975464343040594</v>
      </c>
      <c r="CO62" s="67">
        <f>IF(CK55&gt;0,CN62*CK62,0)</f>
        <v>0</v>
      </c>
      <c r="CQ62" s="63" t="s">
        <v>58</v>
      </c>
      <c r="CR62" s="64">
        <f>$D$26</f>
        <v>0</v>
      </c>
      <c r="CS62" s="65">
        <f>CR62/43560</f>
        <v>0</v>
      </c>
      <c r="CT62" s="64">
        <v>98</v>
      </c>
      <c r="CU62" s="66">
        <f>(1000/CT62)-10</f>
        <v>0.204081632653061</v>
      </c>
      <c r="CV62" s="66">
        <f>(CS55-0.2*CU62)^2/(CS55+0.8*CU62)</f>
        <v>0.20320446433452843</v>
      </c>
      <c r="CW62" s="67">
        <f>IF(CS55&gt;0,CV62*CS62,0)</f>
        <v>0</v>
      </c>
      <c r="CY62" s="63" t="s">
        <v>58</v>
      </c>
      <c r="CZ62" s="64">
        <f>$D$26</f>
        <v>0</v>
      </c>
      <c r="DA62" s="65">
        <f>CZ62/43560</f>
        <v>0</v>
      </c>
      <c r="DB62" s="64">
        <v>98</v>
      </c>
      <c r="DC62" s="66">
        <f>(1000/DB62)-10</f>
        <v>0.204081632653061</v>
      </c>
      <c r="DD62" s="66">
        <f>(DA55-0.2*DC62)^2/(DA55+0.8*DC62)</f>
        <v>0.06300015326754625</v>
      </c>
      <c r="DE62" s="67">
        <f>IF(DA55&gt;0,DD62*DA62,0)</f>
        <v>0</v>
      </c>
      <c r="DG62" s="63" t="s">
        <v>58</v>
      </c>
      <c r="DH62" s="64">
        <f>$D$26</f>
        <v>0</v>
      </c>
      <c r="DI62" s="65">
        <f>DH62/43560</f>
        <v>0</v>
      </c>
      <c r="DJ62" s="64">
        <v>98</v>
      </c>
      <c r="DK62" s="66">
        <f>(1000/DJ62)-10</f>
        <v>0.204081632653061</v>
      </c>
      <c r="DL62" s="66">
        <f>(DI55-0.2*DK62)^2/(DI55+0.8*DK62)</f>
        <v>0.32696370576117706</v>
      </c>
      <c r="DM62" s="67">
        <f>IF(DI55&gt;0,DL62*DI62,0)</f>
        <v>0</v>
      </c>
      <c r="DO62" s="63" t="s">
        <v>58</v>
      </c>
      <c r="DP62" s="64">
        <f>$D$26</f>
        <v>0</v>
      </c>
      <c r="DQ62" s="65">
        <f>DP62/43560</f>
        <v>0</v>
      </c>
      <c r="DR62" s="64">
        <v>98</v>
      </c>
      <c r="DS62" s="66">
        <f>(1000/DR62)-10</f>
        <v>0.204081632653061</v>
      </c>
      <c r="DT62" s="66">
        <f>(DQ55-0.2*DS62)^2/(DQ55+0.8*DS62)</f>
        <v>0.027121270219987826</v>
      </c>
      <c r="DU62" s="67">
        <f>IF(DQ55&gt;0,DT62*DQ62,0)</f>
        <v>0</v>
      </c>
      <c r="DW62" s="63" t="s">
        <v>58</v>
      </c>
      <c r="DX62" s="64">
        <f>$D$26</f>
        <v>0</v>
      </c>
      <c r="DY62" s="65">
        <f>DX62/43560</f>
        <v>0</v>
      </c>
      <c r="DZ62" s="64">
        <v>98</v>
      </c>
      <c r="EA62" s="66">
        <f>(1000/DZ62)-10</f>
        <v>0.204081632653061</v>
      </c>
      <c r="EB62" s="66">
        <f>(DY55-0.2*EA62)^2/(DY55+0.8*EA62)</f>
        <v>0.027121270219987826</v>
      </c>
      <c r="EC62" s="67">
        <f>IF(DY55&gt;0,EB62*DY62,0)</f>
        <v>0</v>
      </c>
      <c r="EE62" s="63" t="s">
        <v>58</v>
      </c>
      <c r="EF62" s="64">
        <f>$D$26</f>
        <v>0</v>
      </c>
      <c r="EG62" s="65">
        <f>EF62/43560</f>
        <v>0</v>
      </c>
      <c r="EH62" s="64">
        <v>98</v>
      </c>
      <c r="EI62" s="66">
        <f>(1000/EH62)-10</f>
        <v>0.204081632653061</v>
      </c>
      <c r="EJ62" s="66">
        <f>(EG55-0.2*EI62)^2/(EG55+0.8*EI62)</f>
        <v>0.14500584374719055</v>
      </c>
      <c r="EK62" s="67">
        <f>IF(EG55&gt;0,EJ62*EG62,0)</f>
        <v>0</v>
      </c>
      <c r="EM62" s="63" t="s">
        <v>58</v>
      </c>
      <c r="EN62" s="64">
        <f>$D$26</f>
        <v>0</v>
      </c>
      <c r="EO62" s="65">
        <f>EN62/43560</f>
        <v>0</v>
      </c>
      <c r="EP62" s="64">
        <v>98</v>
      </c>
      <c r="EQ62" s="66">
        <f>(1000/EP62)-10</f>
        <v>0.204081632653061</v>
      </c>
      <c r="ER62" s="66">
        <f>(EO55-0.2*EQ62)^2/(EO55+0.8*EQ62)</f>
        <v>0.2908711779910161</v>
      </c>
      <c r="ES62" s="67">
        <f>IF(EO55&gt;0,ER62*EO62,0)</f>
        <v>0</v>
      </c>
      <c r="EU62" s="63" t="s">
        <v>58</v>
      </c>
      <c r="EV62" s="64">
        <f>$D$26</f>
        <v>0</v>
      </c>
      <c r="EW62" s="65">
        <f>EV62/43560</f>
        <v>0</v>
      </c>
      <c r="EX62" s="64">
        <v>98</v>
      </c>
      <c r="EY62" s="66">
        <f>(1000/EX62)-10</f>
        <v>0.204081632653061</v>
      </c>
      <c r="EZ62" s="66">
        <f>(EW55-0.2*EY62)^2/(EW55+0.8*EY62)</f>
        <v>0.09838221928447499</v>
      </c>
      <c r="FA62" s="67">
        <f>IF(EW55&gt;0,EZ62*EW62,0)</f>
        <v>0</v>
      </c>
      <c r="FC62" s="63" t="s">
        <v>58</v>
      </c>
      <c r="FD62" s="64">
        <f>$D$26</f>
        <v>0</v>
      </c>
      <c r="FE62" s="65">
        <f>FD62/43560</f>
        <v>0</v>
      </c>
      <c r="FF62" s="64">
        <v>98</v>
      </c>
      <c r="FG62" s="66">
        <f>(1000/FF62)-10</f>
        <v>0.204081632653061</v>
      </c>
      <c r="FH62" s="66">
        <f>(FE55-0.2*FG62)^2/(FE55+0.8*FG62)</f>
        <v>0.06975464343040594</v>
      </c>
      <c r="FI62" s="67">
        <f>IF(FE55&gt;0,FH62*FE62,0)</f>
        <v>0</v>
      </c>
      <c r="FK62" s="63" t="s">
        <v>58</v>
      </c>
      <c r="FL62" s="64">
        <f>$D$26</f>
        <v>0</v>
      </c>
      <c r="FM62" s="65">
        <f>FL62/43560</f>
        <v>0</v>
      </c>
      <c r="FN62" s="64">
        <v>98</v>
      </c>
      <c r="FO62" s="66">
        <f>(1000/FN62)-10</f>
        <v>0.204081632653061</v>
      </c>
      <c r="FP62" s="66">
        <f>(FM55-0.2*FO62)^2/(FM55+0.8*FO62)</f>
        <v>0.12123093043152268</v>
      </c>
      <c r="FQ62" s="67">
        <f>IF(FM55&gt;0,FP62*FM62,0)</f>
        <v>0</v>
      </c>
      <c r="FS62" s="63" t="s">
        <v>58</v>
      </c>
      <c r="FT62" s="64">
        <f>$D$26</f>
        <v>0</v>
      </c>
      <c r="FU62" s="65">
        <f>FT62/43560</f>
        <v>0</v>
      </c>
      <c r="FV62" s="64">
        <v>98</v>
      </c>
      <c r="FW62" s="66">
        <f>(1000/FV62)-10</f>
        <v>0.204081632653061</v>
      </c>
      <c r="FX62" s="66">
        <f>(FU55-0.2*FW62)^2/(FU55+0.8*FW62)</f>
        <v>0.01751550807029312</v>
      </c>
      <c r="FY62" s="67">
        <f>IF(FU55&gt;0,FX62*FU62,0)</f>
        <v>0</v>
      </c>
      <c r="GA62" s="63" t="s">
        <v>58</v>
      </c>
      <c r="GB62" s="64">
        <f>$D$26</f>
        <v>0</v>
      </c>
      <c r="GC62" s="65">
        <f>GB62/43560</f>
        <v>0</v>
      </c>
      <c r="GD62" s="64">
        <v>98</v>
      </c>
      <c r="GE62" s="66">
        <f>(1000/GD62)-10</f>
        <v>0.204081632653061</v>
      </c>
      <c r="GF62" s="66">
        <f>(GC55-0.2*GE62)^2/(GC55+0.8*GE62)</f>
        <v>0.032438267366165896</v>
      </c>
      <c r="GG62" s="67">
        <f>IF(GC55&gt;0,GF62*GC62,0)</f>
        <v>0</v>
      </c>
      <c r="GI62" s="63" t="s">
        <v>58</v>
      </c>
      <c r="GJ62" s="64">
        <f>$D$26</f>
        <v>0</v>
      </c>
      <c r="GK62" s="65">
        <f>GJ62/43560</f>
        <v>0</v>
      </c>
      <c r="GL62" s="64">
        <v>98</v>
      </c>
      <c r="GM62" s="66">
        <f>(1000/GL62)-10</f>
        <v>0.204081632653061</v>
      </c>
      <c r="GN62" s="66">
        <f>(GK55-0.2*GM62)^2/(GK55+0.8*GM62)</f>
        <v>0.713549974624364</v>
      </c>
      <c r="GO62" s="67">
        <f>IF(GK55&gt;0,GN62*GK62,0)</f>
        <v>0</v>
      </c>
    </row>
    <row r="63" spans="1:197" ht="18">
      <c r="A63" s="92"/>
      <c r="B63" s="92"/>
      <c r="C63" s="183"/>
      <c r="D63" s="192"/>
      <c r="E63" s="161" t="s">
        <v>130</v>
      </c>
      <c r="F63" s="192">
        <v>0.29</v>
      </c>
      <c r="G63" s="123"/>
      <c r="H63" s="92"/>
      <c r="I63" s="92"/>
      <c r="K63" s="45"/>
      <c r="L63" s="45"/>
      <c r="M63" s="45"/>
      <c r="N63" s="45"/>
      <c r="O63" s="45"/>
      <c r="AB63" s="17" t="s">
        <v>59</v>
      </c>
      <c r="AC63" s="69" t="e">
        <f>SUM(AC57:AC62)</f>
        <v>#N/A</v>
      </c>
      <c r="AJ63" s="17" t="s">
        <v>59</v>
      </c>
      <c r="AK63" s="69" t="e">
        <f>SUM(AK57:AK62)</f>
        <v>#N/A</v>
      </c>
      <c r="AR63" s="17" t="s">
        <v>59</v>
      </c>
      <c r="AS63" s="69" t="e">
        <f>SUM(AS57:AS62)</f>
        <v>#N/A</v>
      </c>
      <c r="AZ63" s="17" t="s">
        <v>59</v>
      </c>
      <c r="BA63" s="69" t="e">
        <f>SUM(BA57:BA62)</f>
        <v>#N/A</v>
      </c>
      <c r="BH63" s="17" t="s">
        <v>59</v>
      </c>
      <c r="BI63" s="69" t="e">
        <f>SUM(BI57:BI62)</f>
        <v>#N/A</v>
      </c>
      <c r="BP63" s="17" t="s">
        <v>59</v>
      </c>
      <c r="BQ63" s="69" t="e">
        <f>SUM(BQ57:BQ62)</f>
        <v>#N/A</v>
      </c>
      <c r="BX63" s="17" t="s">
        <v>59</v>
      </c>
      <c r="BY63" s="69" t="e">
        <f>SUM(BY57:BY62)</f>
        <v>#N/A</v>
      </c>
      <c r="CF63" s="17" t="s">
        <v>59</v>
      </c>
      <c r="CG63" s="69" t="e">
        <f>SUM(CG57:CG62)</f>
        <v>#N/A</v>
      </c>
      <c r="CN63" s="17" t="s">
        <v>59</v>
      </c>
      <c r="CO63" s="69" t="e">
        <f>SUM(CO57:CO62)</f>
        <v>#N/A</v>
      </c>
      <c r="CV63" s="17" t="s">
        <v>59</v>
      </c>
      <c r="CW63" s="69" t="e">
        <f>SUM(CW57:CW62)</f>
        <v>#N/A</v>
      </c>
      <c r="DD63" s="17" t="s">
        <v>59</v>
      </c>
      <c r="DE63" s="69" t="e">
        <f>SUM(DE57:DE62)</f>
        <v>#N/A</v>
      </c>
      <c r="DL63" s="17" t="s">
        <v>59</v>
      </c>
      <c r="DM63" s="69" t="e">
        <f>SUM(DM57:DM62)</f>
        <v>#N/A</v>
      </c>
      <c r="DT63" s="17" t="s">
        <v>59</v>
      </c>
      <c r="DU63" s="69" t="e">
        <f>SUM(DU57:DU62)</f>
        <v>#N/A</v>
      </c>
      <c r="EB63" s="17" t="s">
        <v>59</v>
      </c>
      <c r="EC63" s="69" t="e">
        <f>SUM(EC57:EC62)</f>
        <v>#N/A</v>
      </c>
      <c r="EJ63" s="17" t="s">
        <v>59</v>
      </c>
      <c r="EK63" s="69" t="e">
        <f>SUM(EK57:EK62)</f>
        <v>#N/A</v>
      </c>
      <c r="ER63" s="17" t="s">
        <v>59</v>
      </c>
      <c r="ES63" s="69" t="e">
        <f>SUM(ES57:ES62)</f>
        <v>#N/A</v>
      </c>
      <c r="EZ63" s="17" t="s">
        <v>59</v>
      </c>
      <c r="FA63" s="69" t="e">
        <f>SUM(FA57:FA62)</f>
        <v>#N/A</v>
      </c>
      <c r="FH63" s="17" t="s">
        <v>59</v>
      </c>
      <c r="FI63" s="69" t="e">
        <f>SUM(FI57:FI62)</f>
        <v>#N/A</v>
      </c>
      <c r="FP63" s="17" t="s">
        <v>59</v>
      </c>
      <c r="FQ63" s="69" t="e">
        <f>SUM(FQ57:FQ62)</f>
        <v>#N/A</v>
      </c>
      <c r="FX63" s="17" t="s">
        <v>59</v>
      </c>
      <c r="FY63" s="69" t="e">
        <f>SUM(FY57:FY62)</f>
        <v>#N/A</v>
      </c>
      <c r="GF63" s="17" t="s">
        <v>59</v>
      </c>
      <c r="GG63" s="69" t="e">
        <f>SUM(GG57:GG62)</f>
        <v>#N/A</v>
      </c>
      <c r="GN63" s="17" t="s">
        <v>59</v>
      </c>
      <c r="GO63" s="69" t="e">
        <f>SUM(GO57:GO62)</f>
        <v>#N/A</v>
      </c>
    </row>
    <row r="64" spans="3:195" ht="14.25">
      <c r="C64" s="132"/>
      <c r="D64" s="192"/>
      <c r="E64" s="161" t="s">
        <v>134</v>
      </c>
      <c r="F64" s="192">
        <v>0.29</v>
      </c>
      <c r="G64" s="123"/>
      <c r="K64" s="45"/>
      <c r="L64" s="45"/>
      <c r="N64" s="102" t="s">
        <v>163</v>
      </c>
      <c r="P64" s="24" t="s">
        <v>92</v>
      </c>
      <c r="W64" s="24"/>
      <c r="X64" s="24"/>
      <c r="Y64" s="24"/>
      <c r="Z64" s="24"/>
      <c r="AA64" s="24"/>
      <c r="AE64" s="24"/>
      <c r="AF64" s="24"/>
      <c r="AG64" s="24"/>
      <c r="AH64" s="24"/>
      <c r="AI64" s="24"/>
      <c r="AM64" s="24"/>
      <c r="AN64" s="24"/>
      <c r="AO64" s="24"/>
      <c r="AP64" s="24"/>
      <c r="AQ64" s="24"/>
      <c r="AU64" s="24"/>
      <c r="AV64" s="24"/>
      <c r="AW64" s="24"/>
      <c r="AX64" s="24"/>
      <c r="AY64" s="24"/>
      <c r="BC64" s="24"/>
      <c r="BD64" s="24"/>
      <c r="BE64" s="24"/>
      <c r="BF64" s="24"/>
      <c r="BG64" s="24"/>
      <c r="BK64" s="24"/>
      <c r="BL64" s="24"/>
      <c r="BM64" s="24"/>
      <c r="BN64" s="24"/>
      <c r="BO64" s="24"/>
      <c r="BS64" s="24"/>
      <c r="BT64" s="24"/>
      <c r="BU64" s="24"/>
      <c r="BV64" s="24"/>
      <c r="BW64" s="24"/>
      <c r="CA64" s="24"/>
      <c r="CB64" s="24"/>
      <c r="CC64" s="24"/>
      <c r="CD64" s="24"/>
      <c r="CE64" s="24"/>
      <c r="CI64" s="24"/>
      <c r="CJ64" s="24"/>
      <c r="CK64" s="24"/>
      <c r="CL64" s="24"/>
      <c r="CM64" s="24"/>
      <c r="CQ64" s="24"/>
      <c r="CR64" s="24"/>
      <c r="CS64" s="24"/>
      <c r="CT64" s="24"/>
      <c r="CU64" s="24"/>
      <c r="CY64" s="24"/>
      <c r="CZ64" s="24"/>
      <c r="DA64" s="24"/>
      <c r="DB64" s="24"/>
      <c r="DC64" s="24"/>
      <c r="DG64" s="24"/>
      <c r="DH64" s="24"/>
      <c r="DI64" s="24"/>
      <c r="DJ64" s="24"/>
      <c r="DK64" s="24"/>
      <c r="DO64" s="24"/>
      <c r="DP64" s="24"/>
      <c r="DQ64" s="24"/>
      <c r="DR64" s="24"/>
      <c r="DS64" s="24"/>
      <c r="DW64" s="24"/>
      <c r="DX64" s="24"/>
      <c r="DY64" s="24"/>
      <c r="DZ64" s="24"/>
      <c r="EA64" s="24"/>
      <c r="EE64" s="24"/>
      <c r="EF64" s="24"/>
      <c r="EG64" s="24"/>
      <c r="EH64" s="24"/>
      <c r="EI64" s="24"/>
      <c r="EM64" s="24"/>
      <c r="EN64" s="24"/>
      <c r="EO64" s="24"/>
      <c r="EP64" s="24"/>
      <c r="EQ64" s="24"/>
      <c r="EU64" s="24"/>
      <c r="EV64" s="24"/>
      <c r="EW64" s="24"/>
      <c r="EX64" s="24"/>
      <c r="EY64" s="24"/>
      <c r="FC64" s="24"/>
      <c r="FD64" s="24"/>
      <c r="FE64" s="24"/>
      <c r="FF64" s="24"/>
      <c r="FG64" s="24"/>
      <c r="FK64" s="24"/>
      <c r="FL64" s="24"/>
      <c r="FM64" s="24"/>
      <c r="FN64" s="24"/>
      <c r="FO64" s="24"/>
      <c r="FS64" s="24"/>
      <c r="FT64" s="24"/>
      <c r="FU64" s="24"/>
      <c r="FV64" s="24"/>
      <c r="FW64" s="24"/>
      <c r="GA64" s="24"/>
      <c r="GB64" s="24"/>
      <c r="GC64" s="24"/>
      <c r="GD64" s="24"/>
      <c r="GE64" s="24"/>
      <c r="GI64" s="24"/>
      <c r="GJ64" s="24"/>
      <c r="GK64" s="24"/>
      <c r="GL64" s="24"/>
      <c r="GM64" s="24"/>
    </row>
    <row r="65" spans="1:196" ht="14.25">
      <c r="A65" s="92"/>
      <c r="B65" s="92"/>
      <c r="C65" s="123"/>
      <c r="D65" s="192"/>
      <c r="E65" s="161" t="s">
        <v>138</v>
      </c>
      <c r="F65" s="192">
        <v>0.29</v>
      </c>
      <c r="G65" s="123"/>
      <c r="H65" s="92"/>
      <c r="I65" s="92"/>
      <c r="K65" s="45"/>
      <c r="L65" s="45"/>
      <c r="N65" s="73"/>
      <c r="O65" s="24"/>
      <c r="P65" s="24"/>
      <c r="W65" s="24"/>
      <c r="X65" s="24"/>
      <c r="Y65" s="24"/>
      <c r="Z65" s="64"/>
      <c r="AA65" s="64"/>
      <c r="AB65" s="64"/>
      <c r="AE65" s="24"/>
      <c r="AF65" s="24"/>
      <c r="AG65" s="24"/>
      <c r="AH65" s="64"/>
      <c r="AI65" s="64"/>
      <c r="AJ65" s="64"/>
      <c r="AM65" s="24"/>
      <c r="AN65" s="24"/>
      <c r="AO65" s="24"/>
      <c r="AP65" s="64"/>
      <c r="AQ65" s="64"/>
      <c r="AR65" s="64"/>
      <c r="AU65" s="24"/>
      <c r="AV65" s="24"/>
      <c r="AW65" s="24"/>
      <c r="AX65" s="64"/>
      <c r="AY65" s="64"/>
      <c r="AZ65" s="64"/>
      <c r="BC65" s="24"/>
      <c r="BD65" s="24"/>
      <c r="BE65" s="24"/>
      <c r="BF65" s="64"/>
      <c r="BG65" s="64"/>
      <c r="BH65" s="64"/>
      <c r="BK65" s="24"/>
      <c r="BL65" s="24"/>
      <c r="BM65" s="24"/>
      <c r="BN65" s="64"/>
      <c r="BO65" s="64"/>
      <c r="BP65" s="64"/>
      <c r="BS65" s="24"/>
      <c r="BT65" s="24"/>
      <c r="BU65" s="24"/>
      <c r="BV65" s="64"/>
      <c r="BW65" s="64"/>
      <c r="BX65" s="64"/>
      <c r="CA65" s="24"/>
      <c r="CB65" s="24"/>
      <c r="CC65" s="24"/>
      <c r="CD65" s="64"/>
      <c r="CE65" s="64"/>
      <c r="CF65" s="64"/>
      <c r="CI65" s="24"/>
      <c r="CJ65" s="24"/>
      <c r="CK65" s="24"/>
      <c r="CL65" s="64"/>
      <c r="CM65" s="64"/>
      <c r="CN65" s="64"/>
      <c r="CQ65" s="24"/>
      <c r="CR65" s="24"/>
      <c r="CS65" s="24"/>
      <c r="CT65" s="64"/>
      <c r="CU65" s="64"/>
      <c r="CV65" s="64"/>
      <c r="CY65" s="24"/>
      <c r="CZ65" s="24"/>
      <c r="DA65" s="24"/>
      <c r="DB65" s="64"/>
      <c r="DC65" s="64"/>
      <c r="DD65" s="64"/>
      <c r="DG65" s="24"/>
      <c r="DH65" s="24"/>
      <c r="DI65" s="24"/>
      <c r="DJ65" s="64"/>
      <c r="DK65" s="64"/>
      <c r="DL65" s="64"/>
      <c r="DO65" s="24"/>
      <c r="DP65" s="24"/>
      <c r="DQ65" s="24"/>
      <c r="DR65" s="64"/>
      <c r="DS65" s="64"/>
      <c r="DT65" s="64"/>
      <c r="DW65" s="24"/>
      <c r="DX65" s="24"/>
      <c r="DY65" s="24"/>
      <c r="DZ65" s="64"/>
      <c r="EA65" s="64"/>
      <c r="EB65" s="64"/>
      <c r="EE65" s="24"/>
      <c r="EF65" s="24"/>
      <c r="EG65" s="24"/>
      <c r="EH65" s="64"/>
      <c r="EI65" s="64"/>
      <c r="EJ65" s="64"/>
      <c r="EM65" s="24"/>
      <c r="EN65" s="24"/>
      <c r="EO65" s="24"/>
      <c r="EP65" s="64"/>
      <c r="EQ65" s="64"/>
      <c r="ER65" s="64"/>
      <c r="EU65" s="24"/>
      <c r="EV65" s="24"/>
      <c r="EW65" s="24"/>
      <c r="EX65" s="64"/>
      <c r="EY65" s="64"/>
      <c r="EZ65" s="64"/>
      <c r="FC65" s="24"/>
      <c r="FD65" s="24"/>
      <c r="FE65" s="24"/>
      <c r="FF65" s="64"/>
      <c r="FG65" s="64"/>
      <c r="FH65" s="64"/>
      <c r="FK65" s="24"/>
      <c r="FL65" s="24"/>
      <c r="FM65" s="24"/>
      <c r="FN65" s="64"/>
      <c r="FO65" s="64"/>
      <c r="FP65" s="64"/>
      <c r="FS65" s="24"/>
      <c r="FT65" s="24"/>
      <c r="FU65" s="24"/>
      <c r="FV65" s="64"/>
      <c r="FW65" s="64"/>
      <c r="FX65" s="64"/>
      <c r="GA65" s="24"/>
      <c r="GB65" s="24"/>
      <c r="GC65" s="24"/>
      <c r="GD65" s="64"/>
      <c r="GE65" s="64"/>
      <c r="GF65" s="64"/>
      <c r="GI65" s="24"/>
      <c r="GJ65" s="24"/>
      <c r="GK65" s="24"/>
      <c r="GL65" s="64"/>
      <c r="GM65" s="64"/>
      <c r="GN65" s="64"/>
    </row>
    <row r="66" spans="1:196" ht="14.25">
      <c r="A66" s="144"/>
      <c r="B66" s="92"/>
      <c r="C66" s="123"/>
      <c r="D66" s="45"/>
      <c r="E66" s="161" t="s">
        <v>269</v>
      </c>
      <c r="F66" s="45">
        <v>0.05</v>
      </c>
      <c r="G66" s="123"/>
      <c r="H66" s="92"/>
      <c r="I66" s="92"/>
      <c r="K66" s="45"/>
      <c r="L66" s="45"/>
      <c r="N66" s="73" t="s">
        <v>164</v>
      </c>
      <c r="P66" s="45" t="s">
        <v>92</v>
      </c>
      <c r="W66" s="24"/>
      <c r="X66" s="24"/>
      <c r="Y66" s="24"/>
      <c r="Z66" s="40"/>
      <c r="AA66" s="41"/>
      <c r="AB66" s="43"/>
      <c r="AE66" s="24"/>
      <c r="AF66" s="24"/>
      <c r="AG66" s="24"/>
      <c r="AH66" s="40"/>
      <c r="AI66" s="41"/>
      <c r="AJ66" s="43"/>
      <c r="AM66" s="24"/>
      <c r="AN66" s="24"/>
      <c r="AO66" s="24"/>
      <c r="AP66" s="40"/>
      <c r="AQ66" s="41"/>
      <c r="AR66" s="43"/>
      <c r="AU66" s="24"/>
      <c r="AV66" s="24"/>
      <c r="AW66" s="24"/>
      <c r="AX66" s="40"/>
      <c r="AY66" s="41"/>
      <c r="AZ66" s="43"/>
      <c r="BC66" s="24"/>
      <c r="BD66" s="24"/>
      <c r="BE66" s="24"/>
      <c r="BF66" s="40"/>
      <c r="BG66" s="41"/>
      <c r="BH66" s="43"/>
      <c r="BK66" s="24"/>
      <c r="BL66" s="24"/>
      <c r="BM66" s="24"/>
      <c r="BN66" s="40"/>
      <c r="BO66" s="41"/>
      <c r="BP66" s="43"/>
      <c r="BS66" s="24"/>
      <c r="BT66" s="24"/>
      <c r="BU66" s="24"/>
      <c r="BV66" s="40"/>
      <c r="BW66" s="41"/>
      <c r="BX66" s="43"/>
      <c r="CA66" s="24"/>
      <c r="CB66" s="24"/>
      <c r="CC66" s="24"/>
      <c r="CD66" s="40"/>
      <c r="CE66" s="41"/>
      <c r="CF66" s="43"/>
      <c r="CI66" s="24"/>
      <c r="CJ66" s="24"/>
      <c r="CK66" s="24"/>
      <c r="CL66" s="40"/>
      <c r="CM66" s="41"/>
      <c r="CN66" s="43"/>
      <c r="CQ66" s="24"/>
      <c r="CR66" s="24"/>
      <c r="CS66" s="24"/>
      <c r="CT66" s="40"/>
      <c r="CU66" s="41"/>
      <c r="CV66" s="43"/>
      <c r="CY66" s="24"/>
      <c r="CZ66" s="24"/>
      <c r="DA66" s="24"/>
      <c r="DB66" s="40"/>
      <c r="DC66" s="41"/>
      <c r="DD66" s="43"/>
      <c r="DG66" s="24"/>
      <c r="DH66" s="24"/>
      <c r="DI66" s="24"/>
      <c r="DJ66" s="40"/>
      <c r="DK66" s="41"/>
      <c r="DL66" s="43"/>
      <c r="DO66" s="24"/>
      <c r="DP66" s="24"/>
      <c r="DQ66" s="24"/>
      <c r="DR66" s="40"/>
      <c r="DS66" s="41"/>
      <c r="DT66" s="43"/>
      <c r="DW66" s="24"/>
      <c r="DX66" s="24"/>
      <c r="DY66" s="24"/>
      <c r="DZ66" s="40"/>
      <c r="EA66" s="41"/>
      <c r="EB66" s="43"/>
      <c r="EE66" s="24"/>
      <c r="EF66" s="24"/>
      <c r="EG66" s="24"/>
      <c r="EH66" s="40"/>
      <c r="EI66" s="41"/>
      <c r="EJ66" s="43"/>
      <c r="EM66" s="24"/>
      <c r="EN66" s="24"/>
      <c r="EO66" s="24"/>
      <c r="EP66" s="40"/>
      <c r="EQ66" s="41"/>
      <c r="ER66" s="43"/>
      <c r="EU66" s="24"/>
      <c r="EV66" s="24"/>
      <c r="EW66" s="24"/>
      <c r="EX66" s="40"/>
      <c r="EY66" s="41"/>
      <c r="EZ66" s="43"/>
      <c r="FC66" s="24"/>
      <c r="FD66" s="24"/>
      <c r="FE66" s="24"/>
      <c r="FF66" s="40"/>
      <c r="FG66" s="41"/>
      <c r="FH66" s="43"/>
      <c r="FK66" s="24"/>
      <c r="FL66" s="24"/>
      <c r="FM66" s="24"/>
      <c r="FN66" s="40"/>
      <c r="FO66" s="41"/>
      <c r="FP66" s="43"/>
      <c r="FS66" s="24"/>
      <c r="FT66" s="24"/>
      <c r="FU66" s="24"/>
      <c r="FV66" s="40"/>
      <c r="FW66" s="41"/>
      <c r="FX66" s="43"/>
      <c r="GA66" s="24"/>
      <c r="GB66" s="24"/>
      <c r="GC66" s="24"/>
      <c r="GD66" s="40"/>
      <c r="GE66" s="41"/>
      <c r="GF66" s="43"/>
      <c r="GI66" s="24"/>
      <c r="GJ66" s="24"/>
      <c r="GK66" s="24"/>
      <c r="GL66" s="40"/>
      <c r="GM66" s="41"/>
      <c r="GN66" s="43"/>
    </row>
    <row r="67" spans="1:196" ht="14.25">
      <c r="A67" s="92"/>
      <c r="B67" s="144"/>
      <c r="C67" s="123"/>
      <c r="D67" s="123"/>
      <c r="E67" s="123"/>
      <c r="F67" s="123"/>
      <c r="G67" s="123"/>
      <c r="H67" s="92"/>
      <c r="I67" s="92"/>
      <c r="K67" s="45"/>
      <c r="L67" s="45"/>
      <c r="M67" s="45"/>
      <c r="N67" s="45"/>
      <c r="O67" s="45"/>
      <c r="W67" s="24"/>
      <c r="X67" s="24"/>
      <c r="Y67" s="24"/>
      <c r="Z67" s="74" t="s">
        <v>76</v>
      </c>
      <c r="AA67" s="24"/>
      <c r="AB67" s="75" t="s">
        <v>76</v>
      </c>
      <c r="AE67" s="24"/>
      <c r="AF67" s="24"/>
      <c r="AG67" s="24"/>
      <c r="AH67" s="74" t="s">
        <v>76</v>
      </c>
      <c r="AI67" s="24"/>
      <c r="AJ67" s="75" t="s">
        <v>76</v>
      </c>
      <c r="AM67" s="24"/>
      <c r="AN67" s="24"/>
      <c r="AO67" s="24"/>
      <c r="AP67" s="74" t="s">
        <v>76</v>
      </c>
      <c r="AQ67" s="24"/>
      <c r="AR67" s="75" t="s">
        <v>76</v>
      </c>
      <c r="AU67" s="24"/>
      <c r="AV67" s="24"/>
      <c r="AW67" s="24"/>
      <c r="AX67" s="74" t="s">
        <v>76</v>
      </c>
      <c r="AY67" s="24"/>
      <c r="AZ67" s="75" t="s">
        <v>76</v>
      </c>
      <c r="BC67" s="24"/>
      <c r="BD67" s="24"/>
      <c r="BE67" s="24"/>
      <c r="BF67" s="74" t="s">
        <v>76</v>
      </c>
      <c r="BG67" s="24"/>
      <c r="BH67" s="75" t="s">
        <v>76</v>
      </c>
      <c r="BK67" s="24"/>
      <c r="BL67" s="24"/>
      <c r="BM67" s="24"/>
      <c r="BN67" s="74" t="s">
        <v>76</v>
      </c>
      <c r="BO67" s="24"/>
      <c r="BP67" s="75" t="s">
        <v>76</v>
      </c>
      <c r="BS67" s="24"/>
      <c r="BT67" s="24"/>
      <c r="BU67" s="24"/>
      <c r="BV67" s="74" t="s">
        <v>76</v>
      </c>
      <c r="BW67" s="24"/>
      <c r="BX67" s="75" t="s">
        <v>76</v>
      </c>
      <c r="CA67" s="24"/>
      <c r="CB67" s="24"/>
      <c r="CC67" s="24"/>
      <c r="CD67" s="74" t="s">
        <v>76</v>
      </c>
      <c r="CE67" s="24"/>
      <c r="CF67" s="75" t="s">
        <v>76</v>
      </c>
      <c r="CI67" s="24"/>
      <c r="CJ67" s="24"/>
      <c r="CK67" s="24"/>
      <c r="CL67" s="74" t="s">
        <v>76</v>
      </c>
      <c r="CM67" s="24"/>
      <c r="CN67" s="75" t="s">
        <v>76</v>
      </c>
      <c r="CQ67" s="24"/>
      <c r="CR67" s="24"/>
      <c r="CS67" s="24"/>
      <c r="CT67" s="74" t="s">
        <v>76</v>
      </c>
      <c r="CU67" s="24"/>
      <c r="CV67" s="75" t="s">
        <v>76</v>
      </c>
      <c r="CY67" s="24"/>
      <c r="CZ67" s="24"/>
      <c r="DA67" s="24"/>
      <c r="DB67" s="74" t="s">
        <v>76</v>
      </c>
      <c r="DC67" s="24"/>
      <c r="DD67" s="75" t="s">
        <v>76</v>
      </c>
      <c r="DG67" s="24"/>
      <c r="DH67" s="24"/>
      <c r="DI67" s="24"/>
      <c r="DJ67" s="74" t="s">
        <v>76</v>
      </c>
      <c r="DK67" s="24"/>
      <c r="DL67" s="75" t="s">
        <v>76</v>
      </c>
      <c r="DO67" s="24"/>
      <c r="DP67" s="24"/>
      <c r="DQ67" s="24"/>
      <c r="DR67" s="74" t="s">
        <v>76</v>
      </c>
      <c r="DS67" s="24"/>
      <c r="DT67" s="75" t="s">
        <v>76</v>
      </c>
      <c r="DW67" s="24"/>
      <c r="DX67" s="24"/>
      <c r="DY67" s="24"/>
      <c r="DZ67" s="74" t="s">
        <v>76</v>
      </c>
      <c r="EA67" s="24"/>
      <c r="EB67" s="75" t="s">
        <v>76</v>
      </c>
      <c r="EE67" s="24"/>
      <c r="EF67" s="24"/>
      <c r="EG67" s="24"/>
      <c r="EH67" s="74" t="s">
        <v>76</v>
      </c>
      <c r="EI67" s="24"/>
      <c r="EJ67" s="75" t="s">
        <v>76</v>
      </c>
      <c r="EM67" s="24"/>
      <c r="EN67" s="24"/>
      <c r="EO67" s="24"/>
      <c r="EP67" s="74" t="s">
        <v>76</v>
      </c>
      <c r="EQ67" s="24"/>
      <c r="ER67" s="75" t="s">
        <v>76</v>
      </c>
      <c r="EU67" s="24"/>
      <c r="EV67" s="24"/>
      <c r="EW67" s="24"/>
      <c r="EX67" s="74" t="s">
        <v>76</v>
      </c>
      <c r="EY67" s="24"/>
      <c r="EZ67" s="75" t="s">
        <v>76</v>
      </c>
      <c r="FC67" s="24"/>
      <c r="FD67" s="24"/>
      <c r="FE67" s="24"/>
      <c r="FF67" s="74" t="s">
        <v>76</v>
      </c>
      <c r="FG67" s="24"/>
      <c r="FH67" s="75" t="s">
        <v>76</v>
      </c>
      <c r="FK67" s="24"/>
      <c r="FL67" s="24"/>
      <c r="FM67" s="24"/>
      <c r="FN67" s="74" t="s">
        <v>76</v>
      </c>
      <c r="FO67" s="24"/>
      <c r="FP67" s="75" t="s">
        <v>76</v>
      </c>
      <c r="FS67" s="24"/>
      <c r="FT67" s="24"/>
      <c r="FU67" s="24"/>
      <c r="FV67" s="74" t="s">
        <v>76</v>
      </c>
      <c r="FW67" s="24"/>
      <c r="FX67" s="75" t="s">
        <v>76</v>
      </c>
      <c r="GA67" s="24"/>
      <c r="GB67" s="24"/>
      <c r="GC67" s="24"/>
      <c r="GD67" s="74" t="s">
        <v>76</v>
      </c>
      <c r="GE67" s="24"/>
      <c r="GF67" s="75" t="s">
        <v>76</v>
      </c>
      <c r="GI67" s="24"/>
      <c r="GJ67" s="24"/>
      <c r="GK67" s="24"/>
      <c r="GL67" s="74" t="s">
        <v>76</v>
      </c>
      <c r="GM67" s="24"/>
      <c r="GN67" s="75" t="s">
        <v>76</v>
      </c>
    </row>
    <row r="68" spans="2:196" ht="14.25">
      <c r="B68" s="110"/>
      <c r="K68" s="45"/>
      <c r="L68" s="45"/>
      <c r="M68" s="45"/>
      <c r="N68" s="99" t="s">
        <v>165</v>
      </c>
      <c r="O68" s="99" t="s">
        <v>166</v>
      </c>
      <c r="W68" s="24"/>
      <c r="X68" s="24"/>
      <c r="Y68" s="24"/>
      <c r="Z68" s="74" t="s">
        <v>78</v>
      </c>
      <c r="AA68" s="24"/>
      <c r="AB68" s="75" t="s">
        <v>79</v>
      </c>
      <c r="AE68" s="24"/>
      <c r="AF68" s="24"/>
      <c r="AG68" s="24"/>
      <c r="AH68" s="74" t="s">
        <v>78</v>
      </c>
      <c r="AI68" s="24"/>
      <c r="AJ68" s="75" t="s">
        <v>79</v>
      </c>
      <c r="AM68" s="24"/>
      <c r="AN68" s="24"/>
      <c r="AO68" s="24"/>
      <c r="AP68" s="74" t="s">
        <v>78</v>
      </c>
      <c r="AQ68" s="24"/>
      <c r="AR68" s="75" t="s">
        <v>79</v>
      </c>
      <c r="AU68" s="24"/>
      <c r="AV68" s="24"/>
      <c r="AW68" s="24"/>
      <c r="AX68" s="74" t="s">
        <v>78</v>
      </c>
      <c r="AY68" s="24"/>
      <c r="AZ68" s="75" t="s">
        <v>79</v>
      </c>
      <c r="BC68" s="24"/>
      <c r="BD68" s="24"/>
      <c r="BE68" s="24"/>
      <c r="BF68" s="74" t="s">
        <v>78</v>
      </c>
      <c r="BG68" s="24"/>
      <c r="BH68" s="75" t="s">
        <v>79</v>
      </c>
      <c r="BK68" s="24"/>
      <c r="BL68" s="24"/>
      <c r="BM68" s="24"/>
      <c r="BN68" s="74" t="s">
        <v>78</v>
      </c>
      <c r="BO68" s="24"/>
      <c r="BP68" s="75" t="s">
        <v>79</v>
      </c>
      <c r="BS68" s="24"/>
      <c r="BT68" s="24"/>
      <c r="BU68" s="24"/>
      <c r="BV68" s="74" t="s">
        <v>78</v>
      </c>
      <c r="BW68" s="24"/>
      <c r="BX68" s="75" t="s">
        <v>79</v>
      </c>
      <c r="CA68" s="24"/>
      <c r="CB68" s="24"/>
      <c r="CC68" s="24"/>
      <c r="CD68" s="74" t="s">
        <v>78</v>
      </c>
      <c r="CE68" s="24"/>
      <c r="CF68" s="75" t="s">
        <v>79</v>
      </c>
      <c r="CI68" s="24"/>
      <c r="CJ68" s="24"/>
      <c r="CK68" s="24"/>
      <c r="CL68" s="74" t="s">
        <v>78</v>
      </c>
      <c r="CM68" s="24"/>
      <c r="CN68" s="75" t="s">
        <v>79</v>
      </c>
      <c r="CQ68" s="24"/>
      <c r="CR68" s="24"/>
      <c r="CS68" s="24"/>
      <c r="CT68" s="74" t="s">
        <v>78</v>
      </c>
      <c r="CU68" s="24"/>
      <c r="CV68" s="75" t="s">
        <v>79</v>
      </c>
      <c r="CY68" s="24"/>
      <c r="CZ68" s="24"/>
      <c r="DA68" s="24"/>
      <c r="DB68" s="74" t="s">
        <v>78</v>
      </c>
      <c r="DC68" s="24"/>
      <c r="DD68" s="75" t="s">
        <v>79</v>
      </c>
      <c r="DG68" s="24"/>
      <c r="DH68" s="24"/>
      <c r="DI68" s="24"/>
      <c r="DJ68" s="74" t="s">
        <v>78</v>
      </c>
      <c r="DK68" s="24"/>
      <c r="DL68" s="75" t="s">
        <v>79</v>
      </c>
      <c r="DO68" s="24"/>
      <c r="DP68" s="24"/>
      <c r="DQ68" s="24"/>
      <c r="DR68" s="74" t="s">
        <v>78</v>
      </c>
      <c r="DS68" s="24"/>
      <c r="DT68" s="75" t="s">
        <v>79</v>
      </c>
      <c r="DW68" s="24"/>
      <c r="DX68" s="24"/>
      <c r="DY68" s="24"/>
      <c r="DZ68" s="74" t="s">
        <v>78</v>
      </c>
      <c r="EA68" s="24"/>
      <c r="EB68" s="75" t="s">
        <v>79</v>
      </c>
      <c r="EE68" s="24"/>
      <c r="EF68" s="24"/>
      <c r="EG68" s="24"/>
      <c r="EH68" s="74" t="s">
        <v>78</v>
      </c>
      <c r="EI68" s="24"/>
      <c r="EJ68" s="75" t="s">
        <v>79</v>
      </c>
      <c r="EM68" s="24"/>
      <c r="EN68" s="24"/>
      <c r="EO68" s="24"/>
      <c r="EP68" s="74" t="s">
        <v>78</v>
      </c>
      <c r="EQ68" s="24"/>
      <c r="ER68" s="75" t="s">
        <v>79</v>
      </c>
      <c r="EU68" s="24"/>
      <c r="EV68" s="24"/>
      <c r="EW68" s="24"/>
      <c r="EX68" s="74" t="s">
        <v>78</v>
      </c>
      <c r="EY68" s="24"/>
      <c r="EZ68" s="75" t="s">
        <v>79</v>
      </c>
      <c r="FC68" s="24"/>
      <c r="FD68" s="24"/>
      <c r="FE68" s="24"/>
      <c r="FF68" s="74" t="s">
        <v>78</v>
      </c>
      <c r="FG68" s="24"/>
      <c r="FH68" s="75" t="s">
        <v>79</v>
      </c>
      <c r="FK68" s="24"/>
      <c r="FL68" s="24"/>
      <c r="FM68" s="24"/>
      <c r="FN68" s="74" t="s">
        <v>78</v>
      </c>
      <c r="FO68" s="24"/>
      <c r="FP68" s="75" t="s">
        <v>79</v>
      </c>
      <c r="FS68" s="24"/>
      <c r="FT68" s="24"/>
      <c r="FU68" s="24"/>
      <c r="FV68" s="74" t="s">
        <v>78</v>
      </c>
      <c r="FW68" s="24"/>
      <c r="FX68" s="75" t="s">
        <v>79</v>
      </c>
      <c r="GA68" s="24"/>
      <c r="GB68" s="24"/>
      <c r="GC68" s="24"/>
      <c r="GD68" s="74" t="s">
        <v>78</v>
      </c>
      <c r="GE68" s="24"/>
      <c r="GF68" s="75" t="s">
        <v>79</v>
      </c>
      <c r="GI68" s="24"/>
      <c r="GJ68" s="24"/>
      <c r="GK68" s="24"/>
      <c r="GL68" s="74" t="s">
        <v>78</v>
      </c>
      <c r="GM68" s="24"/>
      <c r="GN68" s="75" t="s">
        <v>79</v>
      </c>
    </row>
    <row r="69" spans="4:196" ht="14.25">
      <c r="D69" s="64"/>
      <c r="E69" s="64"/>
      <c r="F69" s="64"/>
      <c r="K69" s="45"/>
      <c r="L69" s="45"/>
      <c r="M69" s="45"/>
      <c r="N69" s="99" t="s">
        <v>167</v>
      </c>
      <c r="O69" s="99" t="s">
        <v>168</v>
      </c>
      <c r="W69" s="24"/>
      <c r="X69" s="24"/>
      <c r="Y69" s="24"/>
      <c r="Z69" s="74" t="s">
        <v>81</v>
      </c>
      <c r="AA69" s="25" t="s">
        <v>82</v>
      </c>
      <c r="AB69" s="75" t="s">
        <v>83</v>
      </c>
      <c r="AE69" s="24"/>
      <c r="AF69" s="24"/>
      <c r="AG69" s="24"/>
      <c r="AH69" s="74" t="s">
        <v>81</v>
      </c>
      <c r="AI69" s="25" t="s">
        <v>82</v>
      </c>
      <c r="AJ69" s="75" t="s">
        <v>83</v>
      </c>
      <c r="AM69" s="24"/>
      <c r="AN69" s="24"/>
      <c r="AO69" s="24"/>
      <c r="AP69" s="74" t="s">
        <v>81</v>
      </c>
      <c r="AQ69" s="25" t="s">
        <v>82</v>
      </c>
      <c r="AR69" s="75" t="s">
        <v>83</v>
      </c>
      <c r="AU69" s="24"/>
      <c r="AV69" s="24"/>
      <c r="AW69" s="24"/>
      <c r="AX69" s="74" t="s">
        <v>81</v>
      </c>
      <c r="AY69" s="25" t="s">
        <v>82</v>
      </c>
      <c r="AZ69" s="75" t="s">
        <v>83</v>
      </c>
      <c r="BC69" s="24"/>
      <c r="BD69" s="24"/>
      <c r="BE69" s="24"/>
      <c r="BF69" s="74" t="s">
        <v>81</v>
      </c>
      <c r="BG69" s="25" t="s">
        <v>82</v>
      </c>
      <c r="BH69" s="75" t="s">
        <v>83</v>
      </c>
      <c r="BK69" s="24"/>
      <c r="BL69" s="24"/>
      <c r="BM69" s="24"/>
      <c r="BN69" s="74" t="s">
        <v>81</v>
      </c>
      <c r="BO69" s="25" t="s">
        <v>82</v>
      </c>
      <c r="BP69" s="75" t="s">
        <v>83</v>
      </c>
      <c r="BS69" s="24"/>
      <c r="BT69" s="24"/>
      <c r="BU69" s="24"/>
      <c r="BV69" s="74" t="s">
        <v>81</v>
      </c>
      <c r="BW69" s="25" t="s">
        <v>82</v>
      </c>
      <c r="BX69" s="75" t="s">
        <v>83</v>
      </c>
      <c r="CA69" s="24"/>
      <c r="CB69" s="24"/>
      <c r="CC69" s="24"/>
      <c r="CD69" s="74" t="s">
        <v>81</v>
      </c>
      <c r="CE69" s="25" t="s">
        <v>82</v>
      </c>
      <c r="CF69" s="75" t="s">
        <v>83</v>
      </c>
      <c r="CI69" s="24"/>
      <c r="CJ69" s="24"/>
      <c r="CK69" s="24"/>
      <c r="CL69" s="74" t="s">
        <v>81</v>
      </c>
      <c r="CM69" s="25" t="s">
        <v>82</v>
      </c>
      <c r="CN69" s="75" t="s">
        <v>83</v>
      </c>
      <c r="CQ69" s="24"/>
      <c r="CR69" s="24"/>
      <c r="CS69" s="24"/>
      <c r="CT69" s="74" t="s">
        <v>81</v>
      </c>
      <c r="CU69" s="25" t="s">
        <v>82</v>
      </c>
      <c r="CV69" s="75" t="s">
        <v>83</v>
      </c>
      <c r="CY69" s="24"/>
      <c r="CZ69" s="24"/>
      <c r="DA69" s="24"/>
      <c r="DB69" s="74" t="s">
        <v>81</v>
      </c>
      <c r="DC69" s="25" t="s">
        <v>82</v>
      </c>
      <c r="DD69" s="75" t="s">
        <v>83</v>
      </c>
      <c r="DG69" s="24"/>
      <c r="DH69" s="24"/>
      <c r="DI69" s="24"/>
      <c r="DJ69" s="74" t="s">
        <v>81</v>
      </c>
      <c r="DK69" s="25" t="s">
        <v>82</v>
      </c>
      <c r="DL69" s="75" t="s">
        <v>83</v>
      </c>
      <c r="DO69" s="24"/>
      <c r="DP69" s="24"/>
      <c r="DQ69" s="24"/>
      <c r="DR69" s="74" t="s">
        <v>81</v>
      </c>
      <c r="DS69" s="25" t="s">
        <v>82</v>
      </c>
      <c r="DT69" s="75" t="s">
        <v>83</v>
      </c>
      <c r="DW69" s="24"/>
      <c r="DX69" s="24"/>
      <c r="DY69" s="24"/>
      <c r="DZ69" s="74" t="s">
        <v>81</v>
      </c>
      <c r="EA69" s="25" t="s">
        <v>82</v>
      </c>
      <c r="EB69" s="75" t="s">
        <v>83</v>
      </c>
      <c r="EE69" s="24"/>
      <c r="EF69" s="24"/>
      <c r="EG69" s="24"/>
      <c r="EH69" s="74" t="s">
        <v>81</v>
      </c>
      <c r="EI69" s="25" t="s">
        <v>82</v>
      </c>
      <c r="EJ69" s="75" t="s">
        <v>83</v>
      </c>
      <c r="EM69" s="24"/>
      <c r="EN69" s="24"/>
      <c r="EO69" s="24"/>
      <c r="EP69" s="74" t="s">
        <v>81</v>
      </c>
      <c r="EQ69" s="25" t="s">
        <v>82</v>
      </c>
      <c r="ER69" s="75" t="s">
        <v>83</v>
      </c>
      <c r="EU69" s="24"/>
      <c r="EV69" s="24"/>
      <c r="EW69" s="24"/>
      <c r="EX69" s="74" t="s">
        <v>81</v>
      </c>
      <c r="EY69" s="25" t="s">
        <v>82</v>
      </c>
      <c r="EZ69" s="75" t="s">
        <v>83</v>
      </c>
      <c r="FC69" s="24"/>
      <c r="FD69" s="24"/>
      <c r="FE69" s="24"/>
      <c r="FF69" s="74" t="s">
        <v>81</v>
      </c>
      <c r="FG69" s="25" t="s">
        <v>82</v>
      </c>
      <c r="FH69" s="75" t="s">
        <v>83</v>
      </c>
      <c r="FK69" s="24"/>
      <c r="FL69" s="24"/>
      <c r="FM69" s="24"/>
      <c r="FN69" s="74" t="s">
        <v>81</v>
      </c>
      <c r="FO69" s="25" t="s">
        <v>82</v>
      </c>
      <c r="FP69" s="75" t="s">
        <v>83</v>
      </c>
      <c r="FS69" s="24"/>
      <c r="FT69" s="24"/>
      <c r="FU69" s="24"/>
      <c r="FV69" s="74" t="s">
        <v>81</v>
      </c>
      <c r="FW69" s="25" t="s">
        <v>82</v>
      </c>
      <c r="FX69" s="75" t="s">
        <v>83</v>
      </c>
      <c r="GA69" s="24"/>
      <c r="GB69" s="24"/>
      <c r="GC69" s="24"/>
      <c r="GD69" s="74" t="s">
        <v>81</v>
      </c>
      <c r="GE69" s="25" t="s">
        <v>82</v>
      </c>
      <c r="GF69" s="75" t="s">
        <v>83</v>
      </c>
      <c r="GI69" s="24"/>
      <c r="GJ69" s="24"/>
      <c r="GK69" s="24"/>
      <c r="GL69" s="74" t="s">
        <v>81</v>
      </c>
      <c r="GM69" s="25" t="s">
        <v>82</v>
      </c>
      <c r="GN69" s="75" t="s">
        <v>83</v>
      </c>
    </row>
    <row r="70" spans="1:196" ht="14.25">
      <c r="A70" s="4"/>
      <c r="B70" s="4"/>
      <c r="C70" s="4"/>
      <c r="D70" s="119"/>
      <c r="E70" s="162"/>
      <c r="F70" s="110"/>
      <c r="G70" s="4"/>
      <c r="H70" s="4"/>
      <c r="I70" s="4"/>
      <c r="K70" s="45">
        <v>1</v>
      </c>
      <c r="L70" s="45" t="s">
        <v>39</v>
      </c>
      <c r="M70" s="45">
        <v>1</v>
      </c>
      <c r="N70" s="31" t="e">
        <f>GL24+GL49+GL73+GL97</f>
        <v>#DIV/0!</v>
      </c>
      <c r="O70" s="95" t="e">
        <f>GN50+GN25+GN74+GN98</f>
        <v>#N/A</v>
      </c>
      <c r="P70" s="103"/>
      <c r="Q70" s="103"/>
      <c r="R70" s="103" t="s">
        <v>169</v>
      </c>
      <c r="S70" s="103"/>
      <c r="T70" s="17" t="s">
        <v>170</v>
      </c>
      <c r="W70" s="24"/>
      <c r="X70" s="31"/>
      <c r="Y70" s="31"/>
      <c r="Z70" s="74" t="s">
        <v>84</v>
      </c>
      <c r="AA70" s="25" t="s">
        <v>85</v>
      </c>
      <c r="AB70" s="75" t="s">
        <v>61</v>
      </c>
      <c r="AE70" s="24"/>
      <c r="AF70" s="31"/>
      <c r="AG70" s="31"/>
      <c r="AH70" s="74" t="s">
        <v>84</v>
      </c>
      <c r="AI70" s="25" t="s">
        <v>85</v>
      </c>
      <c r="AJ70" s="75" t="s">
        <v>61</v>
      </c>
      <c r="AM70" s="24"/>
      <c r="AN70" s="31"/>
      <c r="AO70" s="31"/>
      <c r="AP70" s="74" t="s">
        <v>84</v>
      </c>
      <c r="AQ70" s="25" t="s">
        <v>85</v>
      </c>
      <c r="AR70" s="75" t="s">
        <v>61</v>
      </c>
      <c r="AU70" s="24"/>
      <c r="AV70" s="31"/>
      <c r="AW70" s="31"/>
      <c r="AX70" s="74" t="s">
        <v>84</v>
      </c>
      <c r="AY70" s="25" t="s">
        <v>85</v>
      </c>
      <c r="AZ70" s="75" t="s">
        <v>61</v>
      </c>
      <c r="BC70" s="24"/>
      <c r="BD70" s="31"/>
      <c r="BE70" s="31"/>
      <c r="BF70" s="74" t="s">
        <v>84</v>
      </c>
      <c r="BG70" s="25" t="s">
        <v>85</v>
      </c>
      <c r="BH70" s="75" t="s">
        <v>61</v>
      </c>
      <c r="BK70" s="24"/>
      <c r="BL70" s="31"/>
      <c r="BM70" s="31"/>
      <c r="BN70" s="74" t="s">
        <v>84</v>
      </c>
      <c r="BO70" s="25" t="s">
        <v>85</v>
      </c>
      <c r="BP70" s="75" t="s">
        <v>61</v>
      </c>
      <c r="BS70" s="24"/>
      <c r="BT70" s="31"/>
      <c r="BU70" s="31"/>
      <c r="BV70" s="74" t="s">
        <v>84</v>
      </c>
      <c r="BW70" s="25" t="s">
        <v>85</v>
      </c>
      <c r="BX70" s="75" t="s">
        <v>61</v>
      </c>
      <c r="CA70" s="24"/>
      <c r="CB70" s="31"/>
      <c r="CC70" s="31"/>
      <c r="CD70" s="74" t="s">
        <v>84</v>
      </c>
      <c r="CE70" s="25" t="s">
        <v>85</v>
      </c>
      <c r="CF70" s="75" t="s">
        <v>61</v>
      </c>
      <c r="CI70" s="24"/>
      <c r="CJ70" s="31"/>
      <c r="CK70" s="31"/>
      <c r="CL70" s="74" t="s">
        <v>84</v>
      </c>
      <c r="CM70" s="25" t="s">
        <v>85</v>
      </c>
      <c r="CN70" s="75" t="s">
        <v>61</v>
      </c>
      <c r="CQ70" s="24"/>
      <c r="CR70" s="31"/>
      <c r="CS70" s="31"/>
      <c r="CT70" s="74" t="s">
        <v>84</v>
      </c>
      <c r="CU70" s="25" t="s">
        <v>85</v>
      </c>
      <c r="CV70" s="75" t="s">
        <v>61</v>
      </c>
      <c r="CY70" s="24"/>
      <c r="CZ70" s="31"/>
      <c r="DA70" s="31"/>
      <c r="DB70" s="74" t="s">
        <v>84</v>
      </c>
      <c r="DC70" s="25" t="s">
        <v>85</v>
      </c>
      <c r="DD70" s="75" t="s">
        <v>61</v>
      </c>
      <c r="DG70" s="24"/>
      <c r="DH70" s="31"/>
      <c r="DI70" s="31"/>
      <c r="DJ70" s="74" t="s">
        <v>84</v>
      </c>
      <c r="DK70" s="25" t="s">
        <v>85</v>
      </c>
      <c r="DL70" s="75" t="s">
        <v>61</v>
      </c>
      <c r="DO70" s="24"/>
      <c r="DP70" s="31"/>
      <c r="DQ70" s="31"/>
      <c r="DR70" s="74" t="s">
        <v>84</v>
      </c>
      <c r="DS70" s="25" t="s">
        <v>85</v>
      </c>
      <c r="DT70" s="75" t="s">
        <v>61</v>
      </c>
      <c r="DW70" s="24"/>
      <c r="DX70" s="31"/>
      <c r="DY70" s="31"/>
      <c r="DZ70" s="74" t="s">
        <v>84</v>
      </c>
      <c r="EA70" s="25" t="s">
        <v>85</v>
      </c>
      <c r="EB70" s="75" t="s">
        <v>61</v>
      </c>
      <c r="EE70" s="24"/>
      <c r="EF70" s="31"/>
      <c r="EG70" s="31"/>
      <c r="EH70" s="74" t="s">
        <v>84</v>
      </c>
      <c r="EI70" s="25" t="s">
        <v>85</v>
      </c>
      <c r="EJ70" s="75" t="s">
        <v>61</v>
      </c>
      <c r="EM70" s="24"/>
      <c r="EN70" s="31"/>
      <c r="EO70" s="31"/>
      <c r="EP70" s="74" t="s">
        <v>84</v>
      </c>
      <c r="EQ70" s="25" t="s">
        <v>85</v>
      </c>
      <c r="ER70" s="75" t="s">
        <v>61</v>
      </c>
      <c r="EU70" s="24"/>
      <c r="EV70" s="31"/>
      <c r="EW70" s="31"/>
      <c r="EX70" s="74" t="s">
        <v>84</v>
      </c>
      <c r="EY70" s="25" t="s">
        <v>85</v>
      </c>
      <c r="EZ70" s="75" t="s">
        <v>61</v>
      </c>
      <c r="FC70" s="24"/>
      <c r="FD70" s="31"/>
      <c r="FE70" s="31"/>
      <c r="FF70" s="74" t="s">
        <v>84</v>
      </c>
      <c r="FG70" s="25" t="s">
        <v>85</v>
      </c>
      <c r="FH70" s="75" t="s">
        <v>61</v>
      </c>
      <c r="FK70" s="24"/>
      <c r="FL70" s="31"/>
      <c r="FM70" s="31"/>
      <c r="FN70" s="74" t="s">
        <v>84</v>
      </c>
      <c r="FO70" s="25" t="s">
        <v>85</v>
      </c>
      <c r="FP70" s="75" t="s">
        <v>61</v>
      </c>
      <c r="FS70" s="24"/>
      <c r="FT70" s="31"/>
      <c r="FU70" s="31"/>
      <c r="FV70" s="74" t="s">
        <v>84</v>
      </c>
      <c r="FW70" s="25" t="s">
        <v>85</v>
      </c>
      <c r="FX70" s="75" t="s">
        <v>61</v>
      </c>
      <c r="GA70" s="24"/>
      <c r="GB70" s="31"/>
      <c r="GC70" s="31"/>
      <c r="GD70" s="74" t="s">
        <v>84</v>
      </c>
      <c r="GE70" s="25" t="s">
        <v>85</v>
      </c>
      <c r="GF70" s="75" t="s">
        <v>61</v>
      </c>
      <c r="GI70" s="24"/>
      <c r="GJ70" s="31"/>
      <c r="GK70" s="31"/>
      <c r="GL70" s="74" t="s">
        <v>84</v>
      </c>
      <c r="GM70" s="25" t="s">
        <v>85</v>
      </c>
      <c r="GN70" s="75" t="s">
        <v>61</v>
      </c>
    </row>
    <row r="71" spans="4:196" ht="14.25">
      <c r="D71" s="119" t="s">
        <v>293</v>
      </c>
      <c r="E71" s="163" t="e">
        <f>D35*D36/E76</f>
        <v>#DIV/0!</v>
      </c>
      <c r="F71" s="110" t="s">
        <v>114</v>
      </c>
      <c r="I71" s="2"/>
      <c r="K71" s="45">
        <v>2</v>
      </c>
      <c r="L71" s="45" t="s">
        <v>41</v>
      </c>
      <c r="M71" s="45">
        <v>0.917</v>
      </c>
      <c r="N71" s="95" t="e">
        <f>$N$70*M71</f>
        <v>#DIV/0!</v>
      </c>
      <c r="O71" s="95" t="e">
        <f>$O$70*M71</f>
        <v>#N/A</v>
      </c>
      <c r="P71" s="103"/>
      <c r="Q71" s="104"/>
      <c r="R71" s="106">
        <v>2</v>
      </c>
      <c r="S71" s="105"/>
      <c r="W71" s="24"/>
      <c r="X71" s="24"/>
      <c r="Y71" s="24"/>
      <c r="Z71" s="79"/>
      <c r="AA71" s="24"/>
      <c r="AB71" s="80"/>
      <c r="AE71" s="24"/>
      <c r="AF71" s="24"/>
      <c r="AG71" s="24"/>
      <c r="AH71" s="79"/>
      <c r="AI71" s="24"/>
      <c r="AJ71" s="80"/>
      <c r="AM71" s="24"/>
      <c r="AN71" s="24"/>
      <c r="AO71" s="24"/>
      <c r="AP71" s="79"/>
      <c r="AQ71" s="24"/>
      <c r="AR71" s="80"/>
      <c r="AU71" s="24"/>
      <c r="AV71" s="24"/>
      <c r="AW71" s="24"/>
      <c r="AX71" s="79"/>
      <c r="AY71" s="24"/>
      <c r="AZ71" s="80"/>
      <c r="BC71" s="24"/>
      <c r="BD71" s="24"/>
      <c r="BE71" s="24"/>
      <c r="BF71" s="79"/>
      <c r="BG71" s="24"/>
      <c r="BH71" s="80"/>
      <c r="BK71" s="24"/>
      <c r="BL71" s="24"/>
      <c r="BM71" s="24"/>
      <c r="BN71" s="79"/>
      <c r="BO71" s="24"/>
      <c r="BP71" s="80"/>
      <c r="BS71" s="24"/>
      <c r="BT71" s="24"/>
      <c r="BU71" s="24"/>
      <c r="BV71" s="79"/>
      <c r="BW71" s="24"/>
      <c r="BX71" s="80"/>
      <c r="CA71" s="24"/>
      <c r="CB71" s="24"/>
      <c r="CC71" s="24"/>
      <c r="CD71" s="79"/>
      <c r="CE71" s="24"/>
      <c r="CF71" s="80"/>
      <c r="CI71" s="24"/>
      <c r="CJ71" s="24"/>
      <c r="CK71" s="24"/>
      <c r="CL71" s="79"/>
      <c r="CM71" s="24"/>
      <c r="CN71" s="80"/>
      <c r="CQ71" s="24"/>
      <c r="CR71" s="24"/>
      <c r="CS71" s="24"/>
      <c r="CT71" s="79"/>
      <c r="CU71" s="24"/>
      <c r="CV71" s="80"/>
      <c r="CY71" s="24"/>
      <c r="CZ71" s="24"/>
      <c r="DA71" s="24"/>
      <c r="DB71" s="79"/>
      <c r="DC71" s="24"/>
      <c r="DD71" s="80"/>
      <c r="DG71" s="24"/>
      <c r="DH71" s="24"/>
      <c r="DI71" s="24"/>
      <c r="DJ71" s="79"/>
      <c r="DK71" s="24"/>
      <c r="DL71" s="80"/>
      <c r="DO71" s="24"/>
      <c r="DP71" s="24"/>
      <c r="DQ71" s="24"/>
      <c r="DR71" s="79"/>
      <c r="DS71" s="24"/>
      <c r="DT71" s="80"/>
      <c r="DW71" s="24"/>
      <c r="DX71" s="24"/>
      <c r="DY71" s="24"/>
      <c r="DZ71" s="79"/>
      <c r="EA71" s="24"/>
      <c r="EB71" s="80"/>
      <c r="EE71" s="24"/>
      <c r="EF71" s="24"/>
      <c r="EG71" s="24"/>
      <c r="EH71" s="79"/>
      <c r="EI71" s="24"/>
      <c r="EJ71" s="80"/>
      <c r="EM71" s="24"/>
      <c r="EN71" s="24"/>
      <c r="EO71" s="24"/>
      <c r="EP71" s="79"/>
      <c r="EQ71" s="24"/>
      <c r="ER71" s="80"/>
      <c r="EU71" s="24"/>
      <c r="EV71" s="24"/>
      <c r="EW71" s="24"/>
      <c r="EX71" s="79"/>
      <c r="EY71" s="24"/>
      <c r="EZ71" s="80"/>
      <c r="FC71" s="24"/>
      <c r="FD71" s="24"/>
      <c r="FE71" s="24"/>
      <c r="FF71" s="79"/>
      <c r="FG71" s="24"/>
      <c r="FH71" s="80"/>
      <c r="FK71" s="24"/>
      <c r="FL71" s="24"/>
      <c r="FM71" s="24"/>
      <c r="FN71" s="79"/>
      <c r="FO71" s="24"/>
      <c r="FP71" s="80"/>
      <c r="FS71" s="24"/>
      <c r="FT71" s="24"/>
      <c r="FU71" s="24"/>
      <c r="FV71" s="79"/>
      <c r="FW71" s="24"/>
      <c r="FX71" s="80"/>
      <c r="GA71" s="24"/>
      <c r="GB71" s="24"/>
      <c r="GC71" s="24"/>
      <c r="GD71" s="79"/>
      <c r="GE71" s="24"/>
      <c r="GF71" s="80"/>
      <c r="GI71" s="24"/>
      <c r="GJ71" s="24"/>
      <c r="GK71" s="24"/>
      <c r="GL71" s="79"/>
      <c r="GM71" s="24"/>
      <c r="GN71" s="80"/>
    </row>
    <row r="72" spans="1:196" ht="15">
      <c r="A72" s="146" t="s">
        <v>5</v>
      </c>
      <c r="B72" s="2"/>
      <c r="C72" s="8" t="s">
        <v>6</v>
      </c>
      <c r="D72" s="2"/>
      <c r="E72" s="2"/>
      <c r="F72" s="2"/>
      <c r="G72" s="2"/>
      <c r="H72" s="2"/>
      <c r="I72" s="2"/>
      <c r="K72" s="45">
        <v>3</v>
      </c>
      <c r="L72" s="45" t="s">
        <v>48</v>
      </c>
      <c r="M72" s="45">
        <v>0.95</v>
      </c>
      <c r="N72" s="95" t="e">
        <f>$N$70*M72</f>
        <v>#DIV/0!</v>
      </c>
      <c r="O72" s="95" t="e">
        <f>$O$70*M72</f>
        <v>#N/A</v>
      </c>
      <c r="P72" s="103"/>
      <c r="Q72" s="103"/>
      <c r="R72" s="103"/>
      <c r="S72" s="103"/>
      <c r="T72" s="110" t="s">
        <v>747</v>
      </c>
      <c r="W72" s="24"/>
      <c r="X72" s="24"/>
      <c r="Y72" s="24"/>
      <c r="Z72" s="81" t="e">
        <f>($O$30*0.85)*AC63*0.227</f>
        <v>#DIV/0!</v>
      </c>
      <c r="AA72" s="66" t="e">
        <f>$K$56*$L$56</f>
        <v>#DIV/0!</v>
      </c>
      <c r="AB72" s="82" t="e">
        <f>AC63*AA72*0.227</f>
        <v>#N/A</v>
      </c>
      <c r="AE72" s="24"/>
      <c r="AF72" s="24"/>
      <c r="AG72" s="24"/>
      <c r="AH72" s="81" t="e">
        <f>($O$30*0.85)*AK63*0.227</f>
        <v>#DIV/0!</v>
      </c>
      <c r="AI72" s="66" t="e">
        <f>$K$56*$L$56</f>
        <v>#DIV/0!</v>
      </c>
      <c r="AJ72" s="82" t="e">
        <f>AK63*AI72*0.227</f>
        <v>#N/A</v>
      </c>
      <c r="AM72" s="24"/>
      <c r="AN72" s="24"/>
      <c r="AO72" s="24"/>
      <c r="AP72" s="81" t="e">
        <f>($O$30*0.85)*AS63*0.227</f>
        <v>#DIV/0!</v>
      </c>
      <c r="AQ72" s="66" t="e">
        <f>$K$56*$L$56</f>
        <v>#DIV/0!</v>
      </c>
      <c r="AR72" s="82" t="e">
        <f>AS63*AQ72*0.227</f>
        <v>#N/A</v>
      </c>
      <c r="AU72" s="24"/>
      <c r="AV72" s="24"/>
      <c r="AW72" s="24"/>
      <c r="AX72" s="81" t="e">
        <f>($O$30*0.85)*BA63*0.227</f>
        <v>#DIV/0!</v>
      </c>
      <c r="AY72" s="66" t="e">
        <f>$K$56*$L$56</f>
        <v>#DIV/0!</v>
      </c>
      <c r="AZ72" s="82" t="e">
        <f>BA63*AY72*0.227</f>
        <v>#N/A</v>
      </c>
      <c r="BC72" s="24"/>
      <c r="BD72" s="24"/>
      <c r="BE72" s="24"/>
      <c r="BF72" s="81" t="e">
        <f>($O$30*0.85)*BI63*0.227</f>
        <v>#DIV/0!</v>
      </c>
      <c r="BG72" s="66" t="e">
        <f>$K$56*$L$56</f>
        <v>#DIV/0!</v>
      </c>
      <c r="BH72" s="82" t="e">
        <f>BI63*BG72*0.227</f>
        <v>#N/A</v>
      </c>
      <c r="BK72" s="24"/>
      <c r="BL72" s="24"/>
      <c r="BM72" s="24"/>
      <c r="BN72" s="81" t="e">
        <f>($O$30*0.85)*BQ63*0.227</f>
        <v>#DIV/0!</v>
      </c>
      <c r="BO72" s="66" t="e">
        <f>$K$56*$L$56</f>
        <v>#DIV/0!</v>
      </c>
      <c r="BP72" s="82" t="e">
        <f>BQ63*BO72*0.227</f>
        <v>#N/A</v>
      </c>
      <c r="BS72" s="24"/>
      <c r="BT72" s="24"/>
      <c r="BU72" s="24"/>
      <c r="BV72" s="81" t="e">
        <f>($O$30*0.85)*BY63*0.227</f>
        <v>#DIV/0!</v>
      </c>
      <c r="BW72" s="66" t="e">
        <f>$K$56*$L$56</f>
        <v>#DIV/0!</v>
      </c>
      <c r="BX72" s="82" t="e">
        <f>BY63*BW72*0.227</f>
        <v>#N/A</v>
      </c>
      <c r="CA72" s="24"/>
      <c r="CB72" s="24"/>
      <c r="CC72" s="24"/>
      <c r="CD72" s="81" t="e">
        <f>($O$30*0.85)*CG63*0.227</f>
        <v>#DIV/0!</v>
      </c>
      <c r="CE72" s="66" t="e">
        <f>$K$56*$L$56</f>
        <v>#DIV/0!</v>
      </c>
      <c r="CF72" s="82" t="e">
        <f>CG63*CE72*0.227</f>
        <v>#N/A</v>
      </c>
      <c r="CI72" s="24"/>
      <c r="CJ72" s="24"/>
      <c r="CK72" s="24"/>
      <c r="CL72" s="81" t="e">
        <f>($O$30*0.85)*CO63*0.227</f>
        <v>#DIV/0!</v>
      </c>
      <c r="CM72" s="66" t="e">
        <f>$K$56*$L$56</f>
        <v>#DIV/0!</v>
      </c>
      <c r="CN72" s="82" t="e">
        <f>CO63*CM72*0.227</f>
        <v>#N/A</v>
      </c>
      <c r="CQ72" s="24"/>
      <c r="CR72" s="24"/>
      <c r="CS72" s="24"/>
      <c r="CT72" s="81" t="e">
        <f>($O$30*0.85)*CW63*0.227</f>
        <v>#DIV/0!</v>
      </c>
      <c r="CU72" s="66" t="e">
        <f>$K$56*$L$56</f>
        <v>#DIV/0!</v>
      </c>
      <c r="CV72" s="82" t="e">
        <f>CW63*CU72*0.227</f>
        <v>#N/A</v>
      </c>
      <c r="CY72" s="24"/>
      <c r="CZ72" s="24"/>
      <c r="DA72" s="24"/>
      <c r="DB72" s="81" t="e">
        <f>($O$30*0.85)*DE63*0.227</f>
        <v>#DIV/0!</v>
      </c>
      <c r="DC72" s="66" t="e">
        <f>$K$56*$L$56</f>
        <v>#DIV/0!</v>
      </c>
      <c r="DD72" s="82" t="e">
        <f>DE63*DC72*0.227</f>
        <v>#N/A</v>
      </c>
      <c r="DG72" s="24"/>
      <c r="DH72" s="24"/>
      <c r="DI72" s="24"/>
      <c r="DJ72" s="81" t="e">
        <f>($O$30*0.85)*DM63*0.227</f>
        <v>#DIV/0!</v>
      </c>
      <c r="DK72" s="66" t="e">
        <f>$K$56*$L$56</f>
        <v>#DIV/0!</v>
      </c>
      <c r="DL72" s="82" t="e">
        <f>DM63*DK72*0.227</f>
        <v>#N/A</v>
      </c>
      <c r="DO72" s="24"/>
      <c r="DP72" s="24"/>
      <c r="DQ72" s="24"/>
      <c r="DR72" s="81" t="e">
        <f>($O$30*0.85)*DU63*0.227</f>
        <v>#DIV/0!</v>
      </c>
      <c r="DS72" s="66" t="e">
        <f>$K$56*$L$56</f>
        <v>#DIV/0!</v>
      </c>
      <c r="DT72" s="82" t="e">
        <f>DU63*DS72*0.227</f>
        <v>#N/A</v>
      </c>
      <c r="DW72" s="24"/>
      <c r="DX72" s="24"/>
      <c r="DY72" s="24"/>
      <c r="DZ72" s="81" t="e">
        <f>($O$30*0.85)*EC63*0.227</f>
        <v>#DIV/0!</v>
      </c>
      <c r="EA72" s="66" t="e">
        <f>$K$56*$L$56</f>
        <v>#DIV/0!</v>
      </c>
      <c r="EB72" s="82" t="e">
        <f>EC63*EA72*0.227</f>
        <v>#N/A</v>
      </c>
      <c r="EE72" s="24"/>
      <c r="EF72" s="24"/>
      <c r="EG72" s="24"/>
      <c r="EH72" s="81" t="e">
        <f>($O$30*0.85)*EK63*0.227</f>
        <v>#DIV/0!</v>
      </c>
      <c r="EI72" s="66" t="e">
        <f>$K$56*$L$56</f>
        <v>#DIV/0!</v>
      </c>
      <c r="EJ72" s="82" t="e">
        <f>EK63*EI72*0.227</f>
        <v>#N/A</v>
      </c>
      <c r="EM72" s="24"/>
      <c r="EN72" s="24"/>
      <c r="EO72" s="24"/>
      <c r="EP72" s="81" t="e">
        <f>($O$30*0.85)*ES63*0.227</f>
        <v>#DIV/0!</v>
      </c>
      <c r="EQ72" s="66" t="e">
        <f>$K$56*$L$56</f>
        <v>#DIV/0!</v>
      </c>
      <c r="ER72" s="82" t="e">
        <f>ES63*EQ72*0.227</f>
        <v>#N/A</v>
      </c>
      <c r="EU72" s="24"/>
      <c r="EV72" s="24"/>
      <c r="EW72" s="24"/>
      <c r="EX72" s="81" t="e">
        <f>($O$30*0.85)*FA63*0.227</f>
        <v>#DIV/0!</v>
      </c>
      <c r="EY72" s="66" t="e">
        <f>$K$56*$L$56</f>
        <v>#DIV/0!</v>
      </c>
      <c r="EZ72" s="82" t="e">
        <f>FA63*EY72*0.227</f>
        <v>#N/A</v>
      </c>
      <c r="FC72" s="24"/>
      <c r="FD72" s="24"/>
      <c r="FE72" s="24"/>
      <c r="FF72" s="81" t="e">
        <f>($O$30*0.85)*FI63*0.227</f>
        <v>#DIV/0!</v>
      </c>
      <c r="FG72" s="66" t="e">
        <f>$K$56*$L$56</f>
        <v>#DIV/0!</v>
      </c>
      <c r="FH72" s="82" t="e">
        <f>FI63*FG72*0.227</f>
        <v>#N/A</v>
      </c>
      <c r="FK72" s="24"/>
      <c r="FL72" s="24"/>
      <c r="FM72" s="24"/>
      <c r="FN72" s="81" t="e">
        <f>($O$30*0.85)*FQ63*0.227</f>
        <v>#DIV/0!</v>
      </c>
      <c r="FO72" s="66" t="e">
        <f>$K$56*$L$56</f>
        <v>#DIV/0!</v>
      </c>
      <c r="FP72" s="82" t="e">
        <f>FQ63*FO72*0.227</f>
        <v>#N/A</v>
      </c>
      <c r="FS72" s="24"/>
      <c r="FT72" s="24"/>
      <c r="FU72" s="24"/>
      <c r="FV72" s="81" t="e">
        <f>($O$30*0.85)*FY63*0.227</f>
        <v>#DIV/0!</v>
      </c>
      <c r="FW72" s="66" t="e">
        <f>$K$56*$L$56</f>
        <v>#DIV/0!</v>
      </c>
      <c r="FX72" s="82" t="e">
        <f>FY63*FW72*0.227</f>
        <v>#N/A</v>
      </c>
      <c r="GA72" s="24"/>
      <c r="GB72" s="24"/>
      <c r="GC72" s="24"/>
      <c r="GD72" s="81" t="e">
        <f>($O$30*0.85)*GG63*0.227</f>
        <v>#DIV/0!</v>
      </c>
      <c r="GE72" s="66" t="e">
        <f>$K$56*$L$56</f>
        <v>#DIV/0!</v>
      </c>
      <c r="GF72" s="82" t="e">
        <f>GG63*GE72*0.227</f>
        <v>#N/A</v>
      </c>
      <c r="GI72" s="24"/>
      <c r="GJ72" s="24"/>
      <c r="GK72" s="24"/>
      <c r="GL72" s="81" t="e">
        <f>($O$30*0.85)*GO63*0.227</f>
        <v>#DIV/0!</v>
      </c>
      <c r="GM72" s="66" t="e">
        <f>$K$56*$L$56</f>
        <v>#DIV/0!</v>
      </c>
      <c r="GN72" s="82" t="e">
        <f>GO63*GM72*0.227</f>
        <v>#N/A</v>
      </c>
    </row>
    <row r="73" spans="1:195" ht="14.25">
      <c r="A73" s="147" t="s">
        <v>7</v>
      </c>
      <c r="B73" s="2"/>
      <c r="C73" s="2"/>
      <c r="D73" s="11" t="s">
        <v>24</v>
      </c>
      <c r="E73" s="241">
        <f>D10</f>
        <v>0</v>
      </c>
      <c r="F73" s="12" t="s">
        <v>10</v>
      </c>
      <c r="G73" s="14"/>
      <c r="H73" s="2"/>
      <c r="I73" s="2"/>
      <c r="K73" s="45">
        <v>4</v>
      </c>
      <c r="L73" s="45" t="s">
        <v>171</v>
      </c>
      <c r="M73" s="45">
        <v>1.01</v>
      </c>
      <c r="N73" s="95" t="e">
        <f>$N$70*M73</f>
        <v>#DIV/0!</v>
      </c>
      <c r="O73" s="95" t="e">
        <f>$O$70*M73</f>
        <v>#N/A</v>
      </c>
      <c r="P73" s="103">
        <v>1</v>
      </c>
      <c r="Q73" s="103" t="s">
        <v>172</v>
      </c>
      <c r="R73" s="103">
        <v>0.26</v>
      </c>
      <c r="S73" s="103"/>
      <c r="T73" s="110" t="s">
        <v>746</v>
      </c>
      <c r="W73" s="31"/>
      <c r="X73" s="31"/>
      <c r="Y73" s="24"/>
      <c r="Z73" s="31" t="e">
        <f>Z72</f>
        <v>#DIV/0!</v>
      </c>
      <c r="AA73" s="24"/>
      <c r="AE73" s="31"/>
      <c r="AF73" s="31"/>
      <c r="AG73" s="24"/>
      <c r="AH73" s="31" t="e">
        <f>Z73+AH72</f>
        <v>#DIV/0!</v>
      </c>
      <c r="AI73" s="24"/>
      <c r="AM73" s="31"/>
      <c r="AN73" s="31"/>
      <c r="AO73" s="24"/>
      <c r="AP73" s="31" t="e">
        <f>AH73+AP72</f>
        <v>#DIV/0!</v>
      </c>
      <c r="AQ73" s="24"/>
      <c r="AU73" s="31"/>
      <c r="AV73" s="31"/>
      <c r="AW73" s="24"/>
      <c r="AX73" s="31" t="e">
        <f>AP73+AX72</f>
        <v>#DIV/0!</v>
      </c>
      <c r="AY73" s="24"/>
      <c r="BC73" s="31"/>
      <c r="BD73" s="31"/>
      <c r="BE73" s="24"/>
      <c r="BF73" s="31" t="e">
        <f>AX73+BF72</f>
        <v>#DIV/0!</v>
      </c>
      <c r="BG73" s="24"/>
      <c r="BK73" s="31"/>
      <c r="BL73" s="31"/>
      <c r="BM73" s="24"/>
      <c r="BN73" s="31" t="e">
        <f>BF73+BN72</f>
        <v>#DIV/0!</v>
      </c>
      <c r="BO73" s="24"/>
      <c r="BS73" s="31"/>
      <c r="BT73" s="31"/>
      <c r="BU73" s="24"/>
      <c r="BV73" s="31" t="e">
        <f>BN73+BV72</f>
        <v>#DIV/0!</v>
      </c>
      <c r="BW73" s="24"/>
      <c r="CA73" s="31"/>
      <c r="CB73" s="31"/>
      <c r="CC73" s="24"/>
      <c r="CD73" s="31" t="e">
        <f>BV73+CD72</f>
        <v>#DIV/0!</v>
      </c>
      <c r="CE73" s="24"/>
      <c r="CI73" s="31"/>
      <c r="CJ73" s="31"/>
      <c r="CK73" s="24"/>
      <c r="CL73" s="31" t="e">
        <f>CD73+CL72</f>
        <v>#DIV/0!</v>
      </c>
      <c r="CM73" s="24"/>
      <c r="CQ73" s="31"/>
      <c r="CR73" s="31"/>
      <c r="CS73" s="24"/>
      <c r="CT73" s="31" t="e">
        <f>CL73+CT72</f>
        <v>#DIV/0!</v>
      </c>
      <c r="CU73" s="24"/>
      <c r="CY73" s="31"/>
      <c r="CZ73" s="31"/>
      <c r="DA73" s="24"/>
      <c r="DB73" s="31" t="e">
        <f>CT73+DB72</f>
        <v>#DIV/0!</v>
      </c>
      <c r="DC73" s="24"/>
      <c r="DG73" s="31"/>
      <c r="DH73" s="31"/>
      <c r="DI73" s="24"/>
      <c r="DJ73" s="31" t="e">
        <f>DB73+DJ72</f>
        <v>#DIV/0!</v>
      </c>
      <c r="DK73" s="24"/>
      <c r="DO73" s="31"/>
      <c r="DP73" s="31"/>
      <c r="DQ73" s="24"/>
      <c r="DR73" s="31" t="e">
        <f>DJ73+DR72</f>
        <v>#DIV/0!</v>
      </c>
      <c r="DS73" s="24"/>
      <c r="DW73" s="31"/>
      <c r="DX73" s="31"/>
      <c r="DY73" s="24"/>
      <c r="DZ73" s="31" t="e">
        <f>DR73+DZ72</f>
        <v>#DIV/0!</v>
      </c>
      <c r="EA73" s="24"/>
      <c r="EE73" s="31"/>
      <c r="EF73" s="31"/>
      <c r="EG73" s="24"/>
      <c r="EH73" s="31" t="e">
        <f>DZ73+EH72</f>
        <v>#DIV/0!</v>
      </c>
      <c r="EI73" s="24"/>
      <c r="EM73" s="31"/>
      <c r="EN73" s="31"/>
      <c r="EO73" s="24"/>
      <c r="EP73" s="31" t="e">
        <f>EH73+EP72</f>
        <v>#DIV/0!</v>
      </c>
      <c r="EQ73" s="24"/>
      <c r="EU73" s="31"/>
      <c r="EV73" s="31"/>
      <c r="EW73" s="24"/>
      <c r="EX73" s="31" t="e">
        <f>EP73+EX72</f>
        <v>#DIV/0!</v>
      </c>
      <c r="EY73" s="24"/>
      <c r="FC73" s="31"/>
      <c r="FD73" s="31"/>
      <c r="FE73" s="24"/>
      <c r="FF73" s="31" t="e">
        <f>EX73+FF72</f>
        <v>#DIV/0!</v>
      </c>
      <c r="FG73" s="24"/>
      <c r="FK73" s="31"/>
      <c r="FL73" s="31"/>
      <c r="FM73" s="24"/>
      <c r="FN73" s="31" t="e">
        <f>FF73+FN72</f>
        <v>#DIV/0!</v>
      </c>
      <c r="FO73" s="24"/>
      <c r="FS73" s="31"/>
      <c r="FT73" s="31"/>
      <c r="FU73" s="24"/>
      <c r="FV73" s="31" t="e">
        <f>FN73+FV72</f>
        <v>#DIV/0!</v>
      </c>
      <c r="FW73" s="24"/>
      <c r="GA73" s="31"/>
      <c r="GB73" s="31"/>
      <c r="GC73" s="24"/>
      <c r="GD73" s="31" t="e">
        <f>FV73+GD72</f>
        <v>#DIV/0!</v>
      </c>
      <c r="GE73" s="24"/>
      <c r="GI73" s="31"/>
      <c r="GJ73" s="31"/>
      <c r="GK73" s="24"/>
      <c r="GL73" s="31" t="e">
        <f>GD73+GL72</f>
        <v>#DIV/0!</v>
      </c>
      <c r="GM73" s="24"/>
    </row>
    <row r="74" spans="1:197" ht="14.25">
      <c r="A74" s="2"/>
      <c r="B74" s="2"/>
      <c r="C74" s="2"/>
      <c r="D74" s="11" t="s">
        <v>23</v>
      </c>
      <c r="E74" s="241">
        <f>D11</f>
        <v>0</v>
      </c>
      <c r="F74" s="12" t="s">
        <v>10</v>
      </c>
      <c r="G74" s="14"/>
      <c r="H74" s="2"/>
      <c r="I74" s="2"/>
      <c r="K74" s="45"/>
      <c r="L74" s="45"/>
      <c r="M74" s="45"/>
      <c r="N74" s="45"/>
      <c r="O74" s="45"/>
      <c r="P74" s="103">
        <v>2</v>
      </c>
      <c r="Q74" s="103"/>
      <c r="R74" s="103">
        <v>0.13</v>
      </c>
      <c r="S74" s="103"/>
      <c r="T74" s="110" t="s">
        <v>745</v>
      </c>
      <c r="W74" s="24"/>
      <c r="X74" s="24"/>
      <c r="Y74" s="24"/>
      <c r="Z74" s="24"/>
      <c r="AA74" s="73" t="s">
        <v>91</v>
      </c>
      <c r="AB74" s="83" t="e">
        <f>AB72</f>
        <v>#N/A</v>
      </c>
      <c r="AC74" s="17" t="s">
        <v>92</v>
      </c>
      <c r="AE74" s="24"/>
      <c r="AF74" s="24"/>
      <c r="AG74" s="24"/>
      <c r="AH74" s="24"/>
      <c r="AI74" s="73" t="s">
        <v>91</v>
      </c>
      <c r="AJ74" s="83" t="e">
        <f>AB74+AJ72</f>
        <v>#N/A</v>
      </c>
      <c r="AK74" s="17" t="s">
        <v>92</v>
      </c>
      <c r="AM74" s="24"/>
      <c r="AN74" s="24"/>
      <c r="AO74" s="24"/>
      <c r="AP74" s="24"/>
      <c r="AQ74" s="73" t="s">
        <v>91</v>
      </c>
      <c r="AR74" s="83" t="e">
        <f>AJ74+AR72</f>
        <v>#N/A</v>
      </c>
      <c r="AS74" s="17" t="s">
        <v>92</v>
      </c>
      <c r="AU74" s="24"/>
      <c r="AV74" s="24"/>
      <c r="AW74" s="24"/>
      <c r="AX74" s="24"/>
      <c r="AY74" s="73" t="s">
        <v>91</v>
      </c>
      <c r="AZ74" s="83" t="e">
        <f>AR74+AZ72</f>
        <v>#N/A</v>
      </c>
      <c r="BA74" s="17" t="s">
        <v>92</v>
      </c>
      <c r="BC74" s="24"/>
      <c r="BD74" s="24"/>
      <c r="BE74" s="24"/>
      <c r="BF74" s="24"/>
      <c r="BG74" s="73" t="s">
        <v>91</v>
      </c>
      <c r="BH74" s="83" t="e">
        <f>AZ74+BH72</f>
        <v>#N/A</v>
      </c>
      <c r="BI74" s="17" t="s">
        <v>92</v>
      </c>
      <c r="BK74" s="24"/>
      <c r="BL74" s="24"/>
      <c r="BM74" s="24"/>
      <c r="BN74" s="24"/>
      <c r="BO74" s="73" t="s">
        <v>91</v>
      </c>
      <c r="BP74" s="83" t="e">
        <f>BH74+BP72</f>
        <v>#N/A</v>
      </c>
      <c r="BQ74" s="17" t="s">
        <v>92</v>
      </c>
      <c r="BS74" s="24"/>
      <c r="BT74" s="24"/>
      <c r="BU74" s="24"/>
      <c r="BV74" s="24"/>
      <c r="BW74" s="73" t="s">
        <v>91</v>
      </c>
      <c r="BX74" s="83" t="e">
        <f>BP74+BX72</f>
        <v>#N/A</v>
      </c>
      <c r="BY74" s="17" t="s">
        <v>92</v>
      </c>
      <c r="CA74" s="24"/>
      <c r="CB74" s="24"/>
      <c r="CC74" s="24"/>
      <c r="CD74" s="24"/>
      <c r="CE74" s="73" t="s">
        <v>91</v>
      </c>
      <c r="CF74" s="83" t="e">
        <f>BX74+CF72</f>
        <v>#N/A</v>
      </c>
      <c r="CG74" s="17" t="s">
        <v>92</v>
      </c>
      <c r="CI74" s="24"/>
      <c r="CJ74" s="24"/>
      <c r="CK74" s="24"/>
      <c r="CL74" s="24"/>
      <c r="CM74" s="73" t="s">
        <v>91</v>
      </c>
      <c r="CN74" s="83" t="e">
        <f>CF74+CN72</f>
        <v>#N/A</v>
      </c>
      <c r="CO74" s="17" t="s">
        <v>92</v>
      </c>
      <c r="CQ74" s="24"/>
      <c r="CR74" s="24"/>
      <c r="CS74" s="24"/>
      <c r="CT74" s="24"/>
      <c r="CU74" s="73" t="s">
        <v>91</v>
      </c>
      <c r="CV74" s="83" t="e">
        <f>CN74+CV72</f>
        <v>#N/A</v>
      </c>
      <c r="CW74" s="17" t="s">
        <v>92</v>
      </c>
      <c r="CY74" s="24"/>
      <c r="CZ74" s="24"/>
      <c r="DA74" s="24"/>
      <c r="DB74" s="24"/>
      <c r="DC74" s="73" t="s">
        <v>91</v>
      </c>
      <c r="DD74" s="83" t="e">
        <f>CV74+DD72</f>
        <v>#N/A</v>
      </c>
      <c r="DE74" s="17" t="s">
        <v>92</v>
      </c>
      <c r="DG74" s="24"/>
      <c r="DH74" s="24"/>
      <c r="DI74" s="24"/>
      <c r="DJ74" s="24"/>
      <c r="DK74" s="73" t="s">
        <v>91</v>
      </c>
      <c r="DL74" s="83" t="e">
        <f>DD74+DL72</f>
        <v>#N/A</v>
      </c>
      <c r="DM74" s="17" t="s">
        <v>92</v>
      </c>
      <c r="DO74" s="24"/>
      <c r="DP74" s="24"/>
      <c r="DQ74" s="24"/>
      <c r="DR74" s="24"/>
      <c r="DS74" s="73" t="s">
        <v>91</v>
      </c>
      <c r="DT74" s="83" t="e">
        <f>DL74+DT72</f>
        <v>#N/A</v>
      </c>
      <c r="DU74" s="17" t="s">
        <v>92</v>
      </c>
      <c r="DW74" s="24"/>
      <c r="DX74" s="24"/>
      <c r="DY74" s="24"/>
      <c r="DZ74" s="24"/>
      <c r="EA74" s="73" t="s">
        <v>91</v>
      </c>
      <c r="EB74" s="83" t="e">
        <f>DT74+EB72</f>
        <v>#N/A</v>
      </c>
      <c r="EC74" s="17" t="s">
        <v>92</v>
      </c>
      <c r="EE74" s="24"/>
      <c r="EF74" s="24"/>
      <c r="EG74" s="24"/>
      <c r="EH74" s="24"/>
      <c r="EI74" s="73" t="s">
        <v>91</v>
      </c>
      <c r="EJ74" s="83" t="e">
        <f>EB74+EJ72</f>
        <v>#N/A</v>
      </c>
      <c r="EK74" s="17" t="s">
        <v>92</v>
      </c>
      <c r="EM74" s="24"/>
      <c r="EN74" s="24"/>
      <c r="EO74" s="24"/>
      <c r="EP74" s="24"/>
      <c r="EQ74" s="73" t="s">
        <v>91</v>
      </c>
      <c r="ER74" s="83" t="e">
        <f>EJ74+ER72</f>
        <v>#N/A</v>
      </c>
      <c r="ES74" s="17" t="s">
        <v>92</v>
      </c>
      <c r="EU74" s="24"/>
      <c r="EV74" s="24"/>
      <c r="EW74" s="24"/>
      <c r="EX74" s="24"/>
      <c r="EY74" s="73" t="s">
        <v>91</v>
      </c>
      <c r="EZ74" s="83" t="e">
        <f>ER74+EZ72</f>
        <v>#N/A</v>
      </c>
      <c r="FA74" s="17" t="s">
        <v>92</v>
      </c>
      <c r="FC74" s="24"/>
      <c r="FD74" s="24"/>
      <c r="FE74" s="24"/>
      <c r="FF74" s="24"/>
      <c r="FG74" s="73" t="s">
        <v>91</v>
      </c>
      <c r="FH74" s="83" t="e">
        <f>EZ74+FH72</f>
        <v>#N/A</v>
      </c>
      <c r="FI74" s="17" t="s">
        <v>92</v>
      </c>
      <c r="FK74" s="24"/>
      <c r="FL74" s="24"/>
      <c r="FM74" s="24"/>
      <c r="FN74" s="24"/>
      <c r="FO74" s="73" t="s">
        <v>91</v>
      </c>
      <c r="FP74" s="83" t="e">
        <f>FH74+FP72</f>
        <v>#N/A</v>
      </c>
      <c r="FQ74" s="17" t="s">
        <v>92</v>
      </c>
      <c r="FS74" s="24"/>
      <c r="FT74" s="24"/>
      <c r="FU74" s="24"/>
      <c r="FV74" s="24"/>
      <c r="FW74" s="73" t="s">
        <v>91</v>
      </c>
      <c r="FX74" s="83" t="e">
        <f>FP74+FX72</f>
        <v>#N/A</v>
      </c>
      <c r="FY74" s="17" t="s">
        <v>92</v>
      </c>
      <c r="GA74" s="24"/>
      <c r="GB74" s="24"/>
      <c r="GC74" s="24"/>
      <c r="GD74" s="24"/>
      <c r="GE74" s="73" t="s">
        <v>91</v>
      </c>
      <c r="GF74" s="83" t="e">
        <f>FX74+GF72</f>
        <v>#N/A</v>
      </c>
      <c r="GG74" s="17" t="s">
        <v>92</v>
      </c>
      <c r="GI74" s="24"/>
      <c r="GJ74" s="24"/>
      <c r="GK74" s="24"/>
      <c r="GL74" s="24"/>
      <c r="GM74" s="73" t="s">
        <v>91</v>
      </c>
      <c r="GN74" s="83" t="e">
        <f>GF74+GN72</f>
        <v>#N/A</v>
      </c>
      <c r="GO74" s="17" t="s">
        <v>92</v>
      </c>
    </row>
    <row r="75" spans="1:19" ht="14.25">
      <c r="A75" s="2"/>
      <c r="B75" s="2"/>
      <c r="C75" s="2"/>
      <c r="D75" s="9" t="s">
        <v>8</v>
      </c>
      <c r="E75" s="10">
        <f>E74+E73</f>
        <v>0</v>
      </c>
      <c r="F75" s="13" t="s">
        <v>10</v>
      </c>
      <c r="G75" s="2"/>
      <c r="H75" s="2"/>
      <c r="I75" s="2"/>
      <c r="K75" s="45"/>
      <c r="L75" s="45"/>
      <c r="M75" s="45"/>
      <c r="N75" s="45"/>
      <c r="O75" s="45"/>
      <c r="P75" s="103">
        <v>3</v>
      </c>
      <c r="Q75" s="103" t="s">
        <v>173</v>
      </c>
      <c r="R75" s="103">
        <v>0.1</v>
      </c>
      <c r="S75" s="103"/>
    </row>
    <row r="76" spans="1:19" ht="14.25">
      <c r="A76" s="2"/>
      <c r="B76" s="2"/>
      <c r="C76" s="2"/>
      <c r="D76" s="9" t="s">
        <v>9</v>
      </c>
      <c r="E76" s="10">
        <f>E75^0.5</f>
        <v>0</v>
      </c>
      <c r="F76" s="2" t="s">
        <v>10</v>
      </c>
      <c r="G76" s="2"/>
      <c r="H76" s="2"/>
      <c r="I76" s="2"/>
      <c r="L76" s="44" t="s">
        <v>174</v>
      </c>
      <c r="N76" s="83" t="e">
        <f>VLOOKUP(D8,K70:O73,4)</f>
        <v>#N/A</v>
      </c>
      <c r="O76" s="83" t="e">
        <f>VLOOKUP(D8,K70:O73,5)</f>
        <v>#N/A</v>
      </c>
      <c r="P76" s="103">
        <v>4</v>
      </c>
      <c r="Q76" s="103"/>
      <c r="R76" s="103">
        <v>0.1</v>
      </c>
      <c r="S76" s="103"/>
    </row>
    <row r="77" spans="1:20" ht="15">
      <c r="A77" s="2"/>
      <c r="B77" s="12" t="s">
        <v>261</v>
      </c>
      <c r="C77" s="2"/>
      <c r="D77" s="2"/>
      <c r="E77" s="2"/>
      <c r="F77" s="2"/>
      <c r="G77" s="2"/>
      <c r="H77" s="2"/>
      <c r="I77" s="2"/>
      <c r="P77" s="103">
        <v>5</v>
      </c>
      <c r="Q77" s="103"/>
      <c r="R77" s="103">
        <v>0.2</v>
      </c>
      <c r="S77" s="103"/>
      <c r="T77" s="110"/>
    </row>
    <row r="78" spans="1:20" ht="15">
      <c r="A78" s="2"/>
      <c r="B78" s="12" t="s">
        <v>262</v>
      </c>
      <c r="C78" s="2"/>
      <c r="D78" s="2"/>
      <c r="E78" s="2"/>
      <c r="F78" s="2"/>
      <c r="G78" s="2"/>
      <c r="H78" s="2"/>
      <c r="I78" s="2"/>
      <c r="P78" s="103">
        <v>6</v>
      </c>
      <c r="Q78" s="103" t="s">
        <v>175</v>
      </c>
      <c r="R78" s="103">
        <v>0.16</v>
      </c>
      <c r="S78" s="103"/>
      <c r="T78" s="110"/>
    </row>
    <row r="79" spans="1:197" ht="14.25">
      <c r="A79" s="4"/>
      <c r="B79" s="4"/>
      <c r="C79" s="4"/>
      <c r="D79" s="4"/>
      <c r="E79" s="4"/>
      <c r="F79" s="4"/>
      <c r="G79" s="4"/>
      <c r="H79" s="4"/>
      <c r="I79" s="4"/>
      <c r="P79" s="103">
        <v>7</v>
      </c>
      <c r="Q79" s="103"/>
      <c r="R79" s="103">
        <v>0.55</v>
      </c>
      <c r="S79" s="103"/>
      <c r="U79" s="45"/>
      <c r="V79" s="45"/>
      <c r="W79" s="93"/>
      <c r="X79" s="45"/>
      <c r="Y79" s="45"/>
      <c r="Z79" s="45"/>
      <c r="AA79" s="45"/>
      <c r="AB79" s="45"/>
      <c r="AC79" s="45"/>
      <c r="AD79" s="45"/>
      <c r="AE79" s="45"/>
      <c r="FM79" s="17">
        <f>VLOOKUP(67,$P$73:$S$142,$R$71+1)</f>
        <v>0.35</v>
      </c>
      <c r="FN79" s="17" t="s">
        <v>17</v>
      </c>
      <c r="FP79" s="24"/>
      <c r="FQ79" s="24"/>
      <c r="FU79" s="17">
        <f>VLOOKUP(68,$P$73:$S$142,$R$71+1)</f>
        <v>0.44</v>
      </c>
      <c r="FV79" s="17" t="s">
        <v>17</v>
      </c>
      <c r="FX79" s="24"/>
      <c r="FY79" s="24"/>
      <c r="GC79" s="17">
        <f>VLOOKUP(69,$P$73:$S$142,$R$71+1)</f>
        <v>0.27</v>
      </c>
      <c r="GD79" s="17" t="s">
        <v>17</v>
      </c>
      <c r="GF79" s="24"/>
      <c r="GG79" s="24"/>
      <c r="GK79" s="17">
        <f>VLOOKUP(70,$P$73:$S$142,$R$71+1)</f>
        <v>0</v>
      </c>
      <c r="GL79" s="17" t="s">
        <v>17</v>
      </c>
      <c r="GN79" s="24"/>
      <c r="GO79" s="24"/>
    </row>
    <row r="80" spans="1:197" ht="14.25">
      <c r="A80" s="2" t="s">
        <v>11</v>
      </c>
      <c r="B80" s="2"/>
      <c r="C80" s="2"/>
      <c r="D80" s="2"/>
      <c r="E80" s="114" t="s">
        <v>227</v>
      </c>
      <c r="F80" s="2"/>
      <c r="G80" s="2"/>
      <c r="H80" s="2"/>
      <c r="I80" s="2"/>
      <c r="N80" s="44"/>
      <c r="O80" s="44"/>
      <c r="P80" s="103">
        <v>8</v>
      </c>
      <c r="Q80" s="103"/>
      <c r="R80" s="103">
        <v>0.64</v>
      </c>
      <c r="S80" s="103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FK80" s="40"/>
      <c r="FL80" s="41" t="s">
        <v>42</v>
      </c>
      <c r="FM80" s="41" t="s">
        <v>43</v>
      </c>
      <c r="FN80" s="42" t="s">
        <v>0</v>
      </c>
      <c r="FO80" s="42" t="s">
        <v>44</v>
      </c>
      <c r="FP80" s="41" t="s">
        <v>45</v>
      </c>
      <c r="FQ80" s="43" t="s">
        <v>46</v>
      </c>
      <c r="FS80" s="40"/>
      <c r="FT80" s="41" t="s">
        <v>42</v>
      </c>
      <c r="FU80" s="41" t="s">
        <v>43</v>
      </c>
      <c r="FV80" s="42" t="s">
        <v>0</v>
      </c>
      <c r="FW80" s="42" t="s">
        <v>44</v>
      </c>
      <c r="FX80" s="41" t="s">
        <v>45</v>
      </c>
      <c r="FY80" s="43" t="s">
        <v>46</v>
      </c>
      <c r="GA80" s="40"/>
      <c r="GB80" s="41" t="s">
        <v>42</v>
      </c>
      <c r="GC80" s="41" t="s">
        <v>43</v>
      </c>
      <c r="GD80" s="42" t="s">
        <v>0</v>
      </c>
      <c r="GE80" s="42" t="s">
        <v>44</v>
      </c>
      <c r="GF80" s="41" t="s">
        <v>45</v>
      </c>
      <c r="GG80" s="43" t="s">
        <v>46</v>
      </c>
      <c r="GI80" s="40"/>
      <c r="GJ80" s="41" t="s">
        <v>42</v>
      </c>
      <c r="GK80" s="41" t="s">
        <v>43</v>
      </c>
      <c r="GL80" s="42" t="s">
        <v>0</v>
      </c>
      <c r="GM80" s="42" t="s">
        <v>44</v>
      </c>
      <c r="GN80" s="41" t="s">
        <v>45</v>
      </c>
      <c r="GO80" s="43" t="s">
        <v>46</v>
      </c>
    </row>
    <row r="81" spans="1:197" ht="14.25">
      <c r="A81" s="2"/>
      <c r="B81" s="2"/>
      <c r="C81" s="2"/>
      <c r="D81" s="11" t="s">
        <v>18</v>
      </c>
      <c r="E81" s="10">
        <f>D11*1</f>
        <v>0</v>
      </c>
      <c r="F81" s="2" t="s">
        <v>10</v>
      </c>
      <c r="G81" s="2"/>
      <c r="H81" s="2"/>
      <c r="I81" s="2"/>
      <c r="P81" s="103">
        <v>9</v>
      </c>
      <c r="Q81" s="103"/>
      <c r="R81" s="103">
        <v>0.1</v>
      </c>
      <c r="S81" s="103"/>
      <c r="U81" s="45"/>
      <c r="V81" s="145"/>
      <c r="W81" s="45"/>
      <c r="X81" s="45"/>
      <c r="Y81" s="45"/>
      <c r="Z81" s="45"/>
      <c r="AA81" s="45"/>
      <c r="AB81" s="45"/>
      <c r="AC81" s="45"/>
      <c r="AD81" s="45"/>
      <c r="AE81" s="45"/>
      <c r="FK81" s="51" t="s">
        <v>50</v>
      </c>
      <c r="FL81" s="24">
        <f>$E$12</f>
        <v>0</v>
      </c>
      <c r="FM81" s="52">
        <f>FL81/43560</f>
        <v>0</v>
      </c>
      <c r="FN81" s="53" t="e">
        <f>$O$4</f>
        <v>#N/A</v>
      </c>
      <c r="FO81" s="31" t="e">
        <f>(1000/FN81)-10</f>
        <v>#N/A</v>
      </c>
      <c r="FP81" s="31" t="e">
        <f>(FM79-0.2*FO81)^2/(FM79+0.8*FO81)</f>
        <v>#N/A</v>
      </c>
      <c r="FQ81" s="54" t="e">
        <f>IF(FM79&gt;0,FP81*FM81,0)</f>
        <v>#N/A</v>
      </c>
      <c r="FS81" s="51" t="s">
        <v>50</v>
      </c>
      <c r="FT81" s="24">
        <f>$E$12</f>
        <v>0</v>
      </c>
      <c r="FU81" s="52">
        <f>FT81/43560</f>
        <v>0</v>
      </c>
      <c r="FV81" s="53" t="e">
        <f>$O$4</f>
        <v>#N/A</v>
      </c>
      <c r="FW81" s="31" t="e">
        <f>(1000/FV81)-10</f>
        <v>#N/A</v>
      </c>
      <c r="FX81" s="31" t="e">
        <f>(FU79-0.2*FW81)^2/(FU79+0.8*FW81)</f>
        <v>#N/A</v>
      </c>
      <c r="FY81" s="54" t="e">
        <f>IF(FU79&gt;0,FX81*FU81,0)</f>
        <v>#N/A</v>
      </c>
      <c r="GA81" s="51" t="s">
        <v>50</v>
      </c>
      <c r="GB81" s="24">
        <f>$E$12</f>
        <v>0</v>
      </c>
      <c r="GC81" s="52">
        <f>GB81/43560</f>
        <v>0</v>
      </c>
      <c r="GD81" s="53" t="e">
        <f>$O$4</f>
        <v>#N/A</v>
      </c>
      <c r="GE81" s="31" t="e">
        <f>(1000/GD81)-10</f>
        <v>#N/A</v>
      </c>
      <c r="GF81" s="31" t="e">
        <f>(GC79-0.2*GE81)^2/(GC79+0.8*GE81)</f>
        <v>#N/A</v>
      </c>
      <c r="GG81" s="54" t="e">
        <f>IF(GC79&gt;0,GF81*GC81,0)</f>
        <v>#N/A</v>
      </c>
      <c r="GI81" s="51" t="s">
        <v>50</v>
      </c>
      <c r="GJ81" s="24">
        <f>$E$12</f>
        <v>0</v>
      </c>
      <c r="GK81" s="52">
        <f>GJ81/43560</f>
        <v>0</v>
      </c>
      <c r="GL81" s="53" t="e">
        <f>$O$4</f>
        <v>#N/A</v>
      </c>
      <c r="GM81" s="31" t="e">
        <f>(1000/GL81)-10</f>
        <v>#N/A</v>
      </c>
      <c r="GN81" s="31" t="e">
        <f>(GK79-0.2*GM81)^2/(GK79+0.8*GM81)</f>
        <v>#N/A</v>
      </c>
      <c r="GO81" s="54">
        <f>IF(GK79&gt;0,GN81*GK81,0)</f>
        <v>0</v>
      </c>
    </row>
    <row r="82" spans="1:197" ht="14.25">
      <c r="A82" s="2"/>
      <c r="B82" s="2"/>
      <c r="C82" s="2"/>
      <c r="D82" s="11" t="s">
        <v>19</v>
      </c>
      <c r="E82" s="113">
        <f>D10*1.5</f>
        <v>0</v>
      </c>
      <c r="F82" s="2" t="s">
        <v>10</v>
      </c>
      <c r="G82" s="2"/>
      <c r="H82" s="2"/>
      <c r="I82" s="2"/>
      <c r="P82" s="103">
        <v>10</v>
      </c>
      <c r="Q82" s="103"/>
      <c r="R82" s="103">
        <v>1.02</v>
      </c>
      <c r="S82" s="103"/>
      <c r="U82" s="45"/>
      <c r="V82" s="145"/>
      <c r="W82" s="45"/>
      <c r="X82" s="45"/>
      <c r="Y82" s="45"/>
      <c r="Z82" s="45"/>
      <c r="AA82" s="45"/>
      <c r="AB82" s="45"/>
      <c r="AC82" s="45"/>
      <c r="AD82" s="45"/>
      <c r="AE82" s="45"/>
      <c r="FK82" s="51"/>
      <c r="FL82" s="24"/>
      <c r="FM82" s="24"/>
      <c r="FN82" s="24"/>
      <c r="FO82" s="24"/>
      <c r="FP82" s="24"/>
      <c r="FQ82" s="56"/>
      <c r="FS82" s="51"/>
      <c r="FT82" s="24"/>
      <c r="FU82" s="24"/>
      <c r="FV82" s="24"/>
      <c r="FW82" s="24"/>
      <c r="FX82" s="24"/>
      <c r="FY82" s="56"/>
      <c r="GA82" s="51"/>
      <c r="GB82" s="24"/>
      <c r="GC82" s="24"/>
      <c r="GD82" s="24"/>
      <c r="GE82" s="24"/>
      <c r="GF82" s="24"/>
      <c r="GG82" s="56"/>
      <c r="GI82" s="51"/>
      <c r="GJ82" s="24"/>
      <c r="GK82" s="24"/>
      <c r="GL82" s="24"/>
      <c r="GM82" s="24"/>
      <c r="GN82" s="24"/>
      <c r="GO82" s="56"/>
    </row>
    <row r="83" spans="1:197" ht="14.25">
      <c r="A83" s="2"/>
      <c r="B83" s="2"/>
      <c r="C83" s="2"/>
      <c r="D83" s="9" t="s">
        <v>12</v>
      </c>
      <c r="E83" s="16">
        <f>E81+E82</f>
        <v>0</v>
      </c>
      <c r="F83" s="2" t="s">
        <v>10</v>
      </c>
      <c r="G83" s="8" t="s">
        <v>13</v>
      </c>
      <c r="H83" s="2"/>
      <c r="I83" s="2"/>
      <c r="P83" s="103">
        <v>11</v>
      </c>
      <c r="Q83" s="103"/>
      <c r="R83" s="103">
        <v>0.62</v>
      </c>
      <c r="S83" s="103"/>
      <c r="U83" s="45"/>
      <c r="V83" s="145"/>
      <c r="W83" s="45"/>
      <c r="X83" s="45"/>
      <c r="Y83" s="45"/>
      <c r="Z83" s="45"/>
      <c r="AA83" s="45"/>
      <c r="AB83" s="45"/>
      <c r="AC83" s="45"/>
      <c r="AD83" s="45"/>
      <c r="AE83" s="45"/>
      <c r="FK83" s="51" t="s">
        <v>53</v>
      </c>
      <c r="FL83" s="24"/>
      <c r="FM83" s="24"/>
      <c r="FN83" s="24"/>
      <c r="FO83" s="24"/>
      <c r="FP83" s="24"/>
      <c r="FQ83" s="56"/>
      <c r="FS83" s="51" t="s">
        <v>53</v>
      </c>
      <c r="FT83" s="24"/>
      <c r="FU83" s="24"/>
      <c r="FV83" s="24"/>
      <c r="FW83" s="24"/>
      <c r="FX83" s="24"/>
      <c r="FY83" s="56"/>
      <c r="GA83" s="51" t="s">
        <v>53</v>
      </c>
      <c r="GB83" s="24"/>
      <c r="GC83" s="24"/>
      <c r="GD83" s="24"/>
      <c r="GE83" s="24"/>
      <c r="GF83" s="24"/>
      <c r="GG83" s="56"/>
      <c r="GI83" s="51" t="s">
        <v>53</v>
      </c>
      <c r="GJ83" s="24"/>
      <c r="GK83" s="24"/>
      <c r="GL83" s="24"/>
      <c r="GM83" s="24"/>
      <c r="GN83" s="24"/>
      <c r="GO83" s="56"/>
    </row>
    <row r="84" spans="1:197" ht="14.25">
      <c r="A84" s="2"/>
      <c r="B84" s="2"/>
      <c r="C84" s="2"/>
      <c r="D84" s="2"/>
      <c r="E84" s="2"/>
      <c r="F84" s="2"/>
      <c r="G84" s="2"/>
      <c r="H84" s="2"/>
      <c r="I84" s="2"/>
      <c r="P84" s="103">
        <v>12</v>
      </c>
      <c r="Q84" s="103"/>
      <c r="R84" s="103">
        <v>0.13</v>
      </c>
      <c r="S84" s="103"/>
      <c r="U84" s="45"/>
      <c r="V84" s="145"/>
      <c r="W84" s="45"/>
      <c r="X84" s="45"/>
      <c r="Y84" s="45"/>
      <c r="Z84" s="45"/>
      <c r="AA84" s="45"/>
      <c r="AB84" s="45"/>
      <c r="AC84" s="45"/>
      <c r="AD84" s="45"/>
      <c r="AE84" s="45"/>
      <c r="FK84" s="51">
        <v>1</v>
      </c>
      <c r="FL84" s="24">
        <f>$D$23</f>
        <v>0</v>
      </c>
      <c r="FM84" s="52">
        <f>FL84/43560</f>
        <v>0</v>
      </c>
      <c r="FN84" s="24">
        <f>IF($D$24&lt;60,60,$D$24)</f>
        <v>60</v>
      </c>
      <c r="FO84" s="31">
        <f>(1000/FN84)-10</f>
        <v>6.666666666666668</v>
      </c>
      <c r="FP84" s="58">
        <f>IF(FM79-(0.2*FO84)&gt;0,(FM79-0.2*FO84)^2/(FM79+0.8*FO84),0)</f>
        <v>0</v>
      </c>
      <c r="FQ84" s="54">
        <f>IF(FM79&gt;0,FP84*FM84,0)</f>
        <v>0</v>
      </c>
      <c r="FS84" s="51">
        <v>1</v>
      </c>
      <c r="FT84" s="24">
        <f>$D$23</f>
        <v>0</v>
      </c>
      <c r="FU84" s="52">
        <f>FT84/43560</f>
        <v>0</v>
      </c>
      <c r="FV84" s="24">
        <f>IF($D$24&lt;60,60,$D$24)</f>
        <v>60</v>
      </c>
      <c r="FW84" s="31">
        <f>(1000/FV84)-10</f>
        <v>6.666666666666668</v>
      </c>
      <c r="FX84" s="58">
        <f>IF(FU79-(0.2*FW84)&gt;0,(FU79-0.2*FW84)^2/(FU79+0.8*FW84),0)</f>
        <v>0</v>
      </c>
      <c r="FY84" s="54">
        <f>IF(FU79&gt;0,FX84*FU84,0)</f>
        <v>0</v>
      </c>
      <c r="GA84" s="51">
        <v>1</v>
      </c>
      <c r="GB84" s="24">
        <f>$D$23</f>
        <v>0</v>
      </c>
      <c r="GC84" s="52">
        <f>GB84/43560</f>
        <v>0</v>
      </c>
      <c r="GD84" s="24">
        <f>IF($D$24&lt;60,60,$D$24)</f>
        <v>60</v>
      </c>
      <c r="GE84" s="31">
        <f>(1000/GD84)-10</f>
        <v>6.666666666666668</v>
      </c>
      <c r="GF84" s="58">
        <f>IF(GC79-(0.2*GE84)&gt;0,(GC79-0.2*GE84)^2/(GC79+0.8*GE84),0)</f>
        <v>0</v>
      </c>
      <c r="GG84" s="54">
        <f>IF(GC79&gt;0,GF84*GC84,0)</f>
        <v>0</v>
      </c>
      <c r="GI84" s="51">
        <v>1</v>
      </c>
      <c r="GJ84" s="24">
        <f>$D$23</f>
        <v>0</v>
      </c>
      <c r="GK84" s="52">
        <f>GJ84/43560</f>
        <v>0</v>
      </c>
      <c r="GL84" s="24">
        <f>IF($D$24&lt;60,60,$D$24)</f>
        <v>60</v>
      </c>
      <c r="GM84" s="31">
        <f>(1000/GL84)-10</f>
        <v>6.666666666666668</v>
      </c>
      <c r="GN84" s="58">
        <f>IF(GK79-(0.2*GM84)&gt;0,(GK79-0.2*GM84)^2/(GK79+0.8*GM84),0)</f>
        <v>0</v>
      </c>
      <c r="GO84" s="54">
        <f>IF(GK79&gt;0,GN84*GK84,0)</f>
        <v>0</v>
      </c>
    </row>
    <row r="85" spans="16:197" ht="14.25">
      <c r="P85" s="103">
        <v>13</v>
      </c>
      <c r="Q85" s="103" t="s">
        <v>176</v>
      </c>
      <c r="R85" s="103">
        <v>0.17</v>
      </c>
      <c r="S85" s="103"/>
      <c r="U85" s="45"/>
      <c r="V85" s="145"/>
      <c r="W85" s="45"/>
      <c r="X85" s="45"/>
      <c r="Y85" s="45"/>
      <c r="Z85" s="45"/>
      <c r="AA85" s="45"/>
      <c r="AB85" s="45"/>
      <c r="AC85" s="45"/>
      <c r="AD85" s="45"/>
      <c r="AE85" s="45"/>
      <c r="FK85" s="51">
        <v>2</v>
      </c>
      <c r="FL85" s="24">
        <f>$F$23</f>
        <v>0</v>
      </c>
      <c r="FM85" s="52">
        <f>FL85/43560</f>
        <v>0</v>
      </c>
      <c r="FN85" s="24">
        <f>IF($F$24&lt;60,60,$F$24)</f>
        <v>60</v>
      </c>
      <c r="FO85" s="31">
        <f>(1000/FN85)-10</f>
        <v>6.666666666666668</v>
      </c>
      <c r="FP85" s="58">
        <f>IF(FM79-(0.2*FO85)&gt;0,(FM79-0.2*FO85)^2/(FM79+0.8*FO85),0)</f>
        <v>0</v>
      </c>
      <c r="FQ85" s="54">
        <f>IF(FM79&gt;0,FP85*FM85,0)</f>
        <v>0</v>
      </c>
      <c r="FS85" s="51">
        <v>2</v>
      </c>
      <c r="FT85" s="24">
        <f>$F$23</f>
        <v>0</v>
      </c>
      <c r="FU85" s="52">
        <f>FT85/43560</f>
        <v>0</v>
      </c>
      <c r="FV85" s="24">
        <f>IF($F$24&lt;60,60,$F$24)</f>
        <v>60</v>
      </c>
      <c r="FW85" s="31">
        <f>(1000/FV85)-10</f>
        <v>6.666666666666668</v>
      </c>
      <c r="FX85" s="58">
        <f>IF(FU79-(0.2*FW85)&gt;0,(FU79-0.2*FW85)^2/(FU79+0.8*FW85),0)</f>
        <v>0</v>
      </c>
      <c r="FY85" s="54">
        <f>IF(FU79&gt;0,FX85*FU85,0)</f>
        <v>0</v>
      </c>
      <c r="GA85" s="51">
        <v>2</v>
      </c>
      <c r="GB85" s="24">
        <f>$F$23</f>
        <v>0</v>
      </c>
      <c r="GC85" s="52">
        <f>GB85/43560</f>
        <v>0</v>
      </c>
      <c r="GD85" s="24">
        <f>IF($F$24&lt;60,60,$F$24)</f>
        <v>60</v>
      </c>
      <c r="GE85" s="31">
        <f>(1000/GD85)-10</f>
        <v>6.666666666666668</v>
      </c>
      <c r="GF85" s="58">
        <f>IF(GC79-(0.2*GE85)&gt;0,(GC79-0.2*GE85)^2/(GC79+0.8*GE85),0)</f>
        <v>0</v>
      </c>
      <c r="GG85" s="54">
        <f>IF(GC79&gt;0,GF85*GC85,0)</f>
        <v>0</v>
      </c>
      <c r="GI85" s="51">
        <v>2</v>
      </c>
      <c r="GJ85" s="24">
        <f>$F$23</f>
        <v>0</v>
      </c>
      <c r="GK85" s="52">
        <f>GJ85/43560</f>
        <v>0</v>
      </c>
      <c r="GL85" s="24">
        <f>IF($F$24&lt;60,60,$F$24)</f>
        <v>60</v>
      </c>
      <c r="GM85" s="31">
        <f>(1000/GL85)-10</f>
        <v>6.666666666666668</v>
      </c>
      <c r="GN85" s="58">
        <f>IF(GK79-(0.2*GM85)&gt;0,(GK79-0.2*GM85)^2/(GK79+0.8*GM85),0)</f>
        <v>0</v>
      </c>
      <c r="GO85" s="54">
        <f>IF(GK79&gt;0,GN85*GK85,0)</f>
        <v>0</v>
      </c>
    </row>
    <row r="86" spans="16:197" ht="14.25">
      <c r="P86" s="103">
        <v>14</v>
      </c>
      <c r="Q86" s="103"/>
      <c r="R86" s="103">
        <v>0.1</v>
      </c>
      <c r="S86" s="103"/>
      <c r="U86" s="45"/>
      <c r="V86" s="145"/>
      <c r="W86" s="45"/>
      <c r="X86" s="45"/>
      <c r="Y86" s="45"/>
      <c r="Z86" s="45"/>
      <c r="AA86" s="45"/>
      <c r="AB86" s="45"/>
      <c r="AC86" s="45"/>
      <c r="AD86" s="45"/>
      <c r="AE86" s="45"/>
      <c r="FK86" s="63" t="s">
        <v>58</v>
      </c>
      <c r="FL86" s="64">
        <f>$D$26</f>
        <v>0</v>
      </c>
      <c r="FM86" s="65">
        <f>FL86/43560</f>
        <v>0</v>
      </c>
      <c r="FN86" s="64">
        <v>98</v>
      </c>
      <c r="FO86" s="66">
        <f>(1000/FN86)-10</f>
        <v>0.204081632653061</v>
      </c>
      <c r="FP86" s="66">
        <f>(FM79-0.2*FO86)^2/(FM79+0.8*FO86)</f>
        <v>0.18624781920720587</v>
      </c>
      <c r="FQ86" s="67">
        <f>IF(FM79&gt;0,FP86*FM86,0)</f>
        <v>0</v>
      </c>
      <c r="FS86" s="63" t="s">
        <v>58</v>
      </c>
      <c r="FT86" s="64">
        <f>$D$26</f>
        <v>0</v>
      </c>
      <c r="FU86" s="65">
        <f>FT86/43560</f>
        <v>0</v>
      </c>
      <c r="FV86" s="64">
        <v>98</v>
      </c>
      <c r="FW86" s="66">
        <f>(1000/FV86)-10</f>
        <v>0.204081632653061</v>
      </c>
      <c r="FX86" s="66">
        <f>(FU79-0.2*FW86)^2/(FU79+0.8*FW86)</f>
        <v>0.26414183535389807</v>
      </c>
      <c r="FY86" s="67">
        <f>IF(FU79&gt;0,FX86*FU86,0)</f>
        <v>0</v>
      </c>
      <c r="GA86" s="63" t="s">
        <v>58</v>
      </c>
      <c r="GB86" s="64">
        <f>$D$26</f>
        <v>0</v>
      </c>
      <c r="GC86" s="65">
        <f>GB86/43560</f>
        <v>0</v>
      </c>
      <c r="GD86" s="64">
        <v>98</v>
      </c>
      <c r="GE86" s="66">
        <f>(1000/GD86)-10</f>
        <v>0.204081632653061</v>
      </c>
      <c r="GF86" s="66">
        <f>(GC79-0.2*GE86)^2/(GC79+0.8*GE86)</f>
        <v>0.12123093043152268</v>
      </c>
      <c r="GG86" s="67">
        <f>IF(GC79&gt;0,GF86*GC86,0)</f>
        <v>0</v>
      </c>
      <c r="GI86" s="63" t="s">
        <v>58</v>
      </c>
      <c r="GJ86" s="64">
        <f>$D$26</f>
        <v>0</v>
      </c>
      <c r="GK86" s="65">
        <f>GJ86/43560</f>
        <v>0</v>
      </c>
      <c r="GL86" s="64">
        <v>98</v>
      </c>
      <c r="GM86" s="66">
        <f>(1000/GL86)-10</f>
        <v>0.204081632653061</v>
      </c>
      <c r="GN86" s="66">
        <f>(GK79-0.2*GM86)^2/(GK79+0.8*GM86)</f>
        <v>0.010204081632653052</v>
      </c>
      <c r="GO86" s="67">
        <f>IF(GK79&gt;0,GN86*GK86,0)</f>
        <v>0</v>
      </c>
    </row>
    <row r="87" spans="16:197" ht="14.25">
      <c r="P87" s="103">
        <v>15</v>
      </c>
      <c r="Q87" s="103"/>
      <c r="R87" s="103">
        <v>0.1</v>
      </c>
      <c r="S87" s="103"/>
      <c r="U87" s="45"/>
      <c r="V87" s="145"/>
      <c r="W87" s="45"/>
      <c r="X87" s="45"/>
      <c r="Y87" s="45"/>
      <c r="Z87" s="45"/>
      <c r="AA87" s="45"/>
      <c r="AB87" s="45"/>
      <c r="AC87" s="45"/>
      <c r="AD87" s="45"/>
      <c r="AE87" s="45"/>
      <c r="FP87" s="17" t="s">
        <v>59</v>
      </c>
      <c r="FQ87" s="69" t="e">
        <f>SUM(FQ81:FQ86)</f>
        <v>#N/A</v>
      </c>
      <c r="FX87" s="17" t="s">
        <v>59</v>
      </c>
      <c r="FY87" s="69" t="e">
        <f>SUM(FY81:FY86)</f>
        <v>#N/A</v>
      </c>
      <c r="GF87" s="17" t="s">
        <v>59</v>
      </c>
      <c r="GG87" s="69" t="e">
        <f>SUM(GG81:GG86)</f>
        <v>#N/A</v>
      </c>
      <c r="GN87" s="17" t="s">
        <v>59</v>
      </c>
      <c r="GO87" s="69">
        <f>SUM(GO81:GO86)</f>
        <v>0</v>
      </c>
    </row>
    <row r="88" spans="1:195" ht="14.25">
      <c r="A88" s="243" t="s">
        <v>286</v>
      </c>
      <c r="B88" s="244"/>
      <c r="C88" s="244"/>
      <c r="D88" s="244"/>
      <c r="E88" s="244"/>
      <c r="F88" s="244"/>
      <c r="G88" s="244"/>
      <c r="H88" s="244"/>
      <c r="I88" s="245"/>
      <c r="P88" s="103">
        <v>16</v>
      </c>
      <c r="Q88" s="103"/>
      <c r="R88" s="103">
        <v>0.12</v>
      </c>
      <c r="S88" s="103"/>
      <c r="V88" s="145"/>
      <c r="FK88" s="24"/>
      <c r="FL88" s="24"/>
      <c r="FM88" s="24"/>
      <c r="FN88" s="24"/>
      <c r="FO88" s="24"/>
      <c r="FS88" s="24"/>
      <c r="FT88" s="24"/>
      <c r="FU88" s="24"/>
      <c r="FV88" s="24"/>
      <c r="FW88" s="24"/>
      <c r="GA88" s="24"/>
      <c r="GB88" s="24"/>
      <c r="GC88" s="24"/>
      <c r="GD88" s="24"/>
      <c r="GE88" s="24"/>
      <c r="GI88" s="24"/>
      <c r="GJ88" s="24"/>
      <c r="GK88" s="24"/>
      <c r="GL88" s="24"/>
      <c r="GM88" s="24"/>
    </row>
    <row r="89" spans="1:196" ht="14.25">
      <c r="A89" s="242" t="s">
        <v>287</v>
      </c>
      <c r="B89" s="87"/>
      <c r="C89" s="87"/>
      <c r="D89" s="87"/>
      <c r="E89" s="87"/>
      <c r="F89" s="87"/>
      <c r="G89" s="87"/>
      <c r="H89" s="87"/>
      <c r="I89" s="168"/>
      <c r="P89" s="103">
        <v>17</v>
      </c>
      <c r="Q89" s="103"/>
      <c r="R89" s="103">
        <v>0.24</v>
      </c>
      <c r="S89" s="103"/>
      <c r="V89" s="45"/>
      <c r="FK89" s="24"/>
      <c r="FL89" s="24"/>
      <c r="FM89" s="24"/>
      <c r="FN89" s="64"/>
      <c r="FO89" s="64"/>
      <c r="FP89" s="64"/>
      <c r="FS89" s="24"/>
      <c r="FT89" s="24"/>
      <c r="FU89" s="24"/>
      <c r="FV89" s="64"/>
      <c r="FW89" s="64"/>
      <c r="FX89" s="64"/>
      <c r="GA89" s="24"/>
      <c r="GB89" s="24"/>
      <c r="GC89" s="24"/>
      <c r="GD89" s="64"/>
      <c r="GE89" s="64"/>
      <c r="GF89" s="64"/>
      <c r="GI89" s="24"/>
      <c r="GJ89" s="24"/>
      <c r="GK89" s="24"/>
      <c r="GL89" s="64"/>
      <c r="GM89" s="64"/>
      <c r="GN89" s="64"/>
    </row>
    <row r="90" spans="1:196" ht="14.25">
      <c r="A90" s="242"/>
      <c r="B90" s="87"/>
      <c r="C90" s="133" t="s">
        <v>270</v>
      </c>
      <c r="D90" s="115"/>
      <c r="E90" s="125" t="s">
        <v>271</v>
      </c>
      <c r="F90" s="87"/>
      <c r="G90" s="87"/>
      <c r="H90" s="87"/>
      <c r="I90" s="168"/>
      <c r="P90" s="103">
        <v>18</v>
      </c>
      <c r="Q90" s="103"/>
      <c r="R90" s="103">
        <v>0.1</v>
      </c>
      <c r="S90" s="103"/>
      <c r="V90" s="45"/>
      <c r="FK90" s="24"/>
      <c r="FL90" s="24"/>
      <c r="FM90" s="24"/>
      <c r="FN90" s="40"/>
      <c r="FO90" s="41"/>
      <c r="FP90" s="43"/>
      <c r="FS90" s="24"/>
      <c r="FT90" s="24"/>
      <c r="FU90" s="24"/>
      <c r="FV90" s="40"/>
      <c r="FW90" s="41"/>
      <c r="FX90" s="43"/>
      <c r="GA90" s="24"/>
      <c r="GB90" s="24"/>
      <c r="GC90" s="24"/>
      <c r="GD90" s="40"/>
      <c r="GE90" s="41"/>
      <c r="GF90" s="43"/>
      <c r="GI90" s="24"/>
      <c r="GJ90" s="24"/>
      <c r="GK90" s="24"/>
      <c r="GL90" s="40"/>
      <c r="GM90" s="41"/>
      <c r="GN90" s="43"/>
    </row>
    <row r="91" spans="1:196" ht="14.25">
      <c r="A91" s="167"/>
      <c r="B91" s="87"/>
      <c r="C91" s="126" t="s">
        <v>119</v>
      </c>
      <c r="D91" s="115"/>
      <c r="E91" s="125" t="s">
        <v>266</v>
      </c>
      <c r="F91" s="87"/>
      <c r="G91" s="87"/>
      <c r="H91" s="87"/>
      <c r="I91" s="168"/>
      <c r="P91" s="103">
        <v>19</v>
      </c>
      <c r="Q91" s="103"/>
      <c r="R91" s="103">
        <v>0.11</v>
      </c>
      <c r="S91" s="103"/>
      <c r="V91" s="45"/>
      <c r="FK91" s="24"/>
      <c r="FL91" s="24"/>
      <c r="FM91" s="24"/>
      <c r="FN91" s="74" t="s">
        <v>76</v>
      </c>
      <c r="FO91" s="24"/>
      <c r="FP91" s="75" t="s">
        <v>76</v>
      </c>
      <c r="FS91" s="24"/>
      <c r="FT91" s="24"/>
      <c r="FU91" s="24"/>
      <c r="FV91" s="74" t="s">
        <v>76</v>
      </c>
      <c r="FW91" s="24"/>
      <c r="FX91" s="75" t="s">
        <v>76</v>
      </c>
      <c r="GA91" s="24"/>
      <c r="GB91" s="24"/>
      <c r="GC91" s="24"/>
      <c r="GD91" s="74" t="s">
        <v>76</v>
      </c>
      <c r="GE91" s="24"/>
      <c r="GF91" s="75" t="s">
        <v>76</v>
      </c>
      <c r="GI91" s="24"/>
      <c r="GJ91" s="24"/>
      <c r="GK91" s="24"/>
      <c r="GL91" s="74" t="s">
        <v>76</v>
      </c>
      <c r="GM91" s="24"/>
      <c r="GN91" s="75" t="s">
        <v>76</v>
      </c>
    </row>
    <row r="92" spans="1:196" ht="14.25">
      <c r="A92" s="169"/>
      <c r="B92" s="130"/>
      <c r="C92" s="131" t="s">
        <v>137</v>
      </c>
      <c r="D92" s="118"/>
      <c r="E92" s="130"/>
      <c r="F92" s="130"/>
      <c r="G92" s="130"/>
      <c r="H92" s="130"/>
      <c r="I92" s="170"/>
      <c r="P92" s="103">
        <v>20</v>
      </c>
      <c r="Q92" s="103" t="s">
        <v>177</v>
      </c>
      <c r="R92" s="103">
        <v>1.01</v>
      </c>
      <c r="S92" s="103"/>
      <c r="V92" s="45"/>
      <c r="FK92" s="24"/>
      <c r="FL92" s="24"/>
      <c r="FM92" s="24"/>
      <c r="FN92" s="74" t="s">
        <v>78</v>
      </c>
      <c r="FO92" s="24"/>
      <c r="FP92" s="75" t="s">
        <v>79</v>
      </c>
      <c r="FS92" s="24"/>
      <c r="FT92" s="24"/>
      <c r="FU92" s="24"/>
      <c r="FV92" s="74" t="s">
        <v>78</v>
      </c>
      <c r="FW92" s="24"/>
      <c r="FX92" s="75" t="s">
        <v>79</v>
      </c>
      <c r="GA92" s="24"/>
      <c r="GB92" s="24"/>
      <c r="GC92" s="24"/>
      <c r="GD92" s="74" t="s">
        <v>78</v>
      </c>
      <c r="GE92" s="24"/>
      <c r="GF92" s="75" t="s">
        <v>79</v>
      </c>
      <c r="GI92" s="24"/>
      <c r="GJ92" s="24"/>
      <c r="GK92" s="24"/>
      <c r="GL92" s="74" t="s">
        <v>78</v>
      </c>
      <c r="GM92" s="24"/>
      <c r="GN92" s="75" t="s">
        <v>79</v>
      </c>
    </row>
    <row r="93" spans="1:196" ht="14.25">
      <c r="A93" s="2"/>
      <c r="B93" s="220"/>
      <c r="C93" s="220"/>
      <c r="D93" s="220"/>
      <c r="E93" s="15"/>
      <c r="F93" s="220"/>
      <c r="G93" s="220"/>
      <c r="H93" s="220"/>
      <c r="I93" s="220"/>
      <c r="P93" s="103">
        <v>21</v>
      </c>
      <c r="Q93" s="103"/>
      <c r="R93" s="103">
        <v>0.64</v>
      </c>
      <c r="S93" s="103"/>
      <c r="V93" s="92"/>
      <c r="FK93" s="24"/>
      <c r="FL93" s="24"/>
      <c r="FM93" s="24"/>
      <c r="FN93" s="74" t="s">
        <v>81</v>
      </c>
      <c r="FO93" s="25" t="s">
        <v>82</v>
      </c>
      <c r="FP93" s="75" t="s">
        <v>83</v>
      </c>
      <c r="FS93" s="24"/>
      <c r="FT93" s="24"/>
      <c r="FU93" s="24"/>
      <c r="FV93" s="74" t="s">
        <v>81</v>
      </c>
      <c r="FW93" s="25" t="s">
        <v>82</v>
      </c>
      <c r="FX93" s="75" t="s">
        <v>83</v>
      </c>
      <c r="GA93" s="24"/>
      <c r="GB93" s="24"/>
      <c r="GC93" s="24"/>
      <c r="GD93" s="74" t="s">
        <v>81</v>
      </c>
      <c r="GE93" s="25" t="s">
        <v>82</v>
      </c>
      <c r="GF93" s="75" t="s">
        <v>83</v>
      </c>
      <c r="GI93" s="24"/>
      <c r="GJ93" s="24"/>
      <c r="GK93" s="24"/>
      <c r="GL93" s="74" t="s">
        <v>81</v>
      </c>
      <c r="GM93" s="25" t="s">
        <v>82</v>
      </c>
      <c r="GN93" s="75" t="s">
        <v>83</v>
      </c>
    </row>
    <row r="94" spans="1:196" ht="14.25">
      <c r="A94" s="3"/>
      <c r="B94" s="223"/>
      <c r="C94" s="223"/>
      <c r="D94" s="224"/>
      <c r="E94" s="225"/>
      <c r="F94" s="223"/>
      <c r="G94" s="226"/>
      <c r="H94" s="223"/>
      <c r="I94" s="223"/>
      <c r="P94" s="103">
        <v>22</v>
      </c>
      <c r="Q94" s="103"/>
      <c r="R94" s="103">
        <v>0.36</v>
      </c>
      <c r="S94" s="103"/>
      <c r="V94" s="144"/>
      <c r="FK94" s="24"/>
      <c r="FL94" s="31"/>
      <c r="FM94" s="31"/>
      <c r="FN94" s="74" t="s">
        <v>84</v>
      </c>
      <c r="FO94" s="25" t="s">
        <v>85</v>
      </c>
      <c r="FP94" s="75" t="s">
        <v>61</v>
      </c>
      <c r="FS94" s="24"/>
      <c r="FT94" s="31"/>
      <c r="FU94" s="31"/>
      <c r="FV94" s="74" t="s">
        <v>84</v>
      </c>
      <c r="FW94" s="25" t="s">
        <v>85</v>
      </c>
      <c r="FX94" s="75" t="s">
        <v>61</v>
      </c>
      <c r="GA94" s="24"/>
      <c r="GB94" s="31"/>
      <c r="GC94" s="31"/>
      <c r="GD94" s="74" t="s">
        <v>84</v>
      </c>
      <c r="GE94" s="25" t="s">
        <v>85</v>
      </c>
      <c r="GF94" s="75" t="s">
        <v>61</v>
      </c>
      <c r="GI94" s="24"/>
      <c r="GJ94" s="31"/>
      <c r="GK94" s="31"/>
      <c r="GL94" s="74" t="s">
        <v>84</v>
      </c>
      <c r="GM94" s="25" t="s">
        <v>85</v>
      </c>
      <c r="GN94" s="75" t="s">
        <v>61</v>
      </c>
    </row>
    <row r="95" spans="1:196" ht="14.25">
      <c r="A95" s="227" t="s">
        <v>14</v>
      </c>
      <c r="B95" s="227"/>
      <c r="C95" s="228"/>
      <c r="D95" s="228"/>
      <c r="E95" s="229"/>
      <c r="F95" s="229"/>
      <c r="G95" s="229"/>
      <c r="H95" s="229"/>
      <c r="I95" s="220"/>
      <c r="P95" s="103">
        <v>23</v>
      </c>
      <c r="Q95" s="103"/>
      <c r="R95" s="103">
        <v>0.2</v>
      </c>
      <c r="S95" s="103"/>
      <c r="FK95" s="24"/>
      <c r="FL95" s="24"/>
      <c r="FM95" s="24"/>
      <c r="FN95" s="79"/>
      <c r="FO95" s="24"/>
      <c r="FP95" s="80"/>
      <c r="FS95" s="24"/>
      <c r="FT95" s="24"/>
      <c r="FU95" s="24"/>
      <c r="FV95" s="79"/>
      <c r="FW95" s="24"/>
      <c r="FX95" s="80"/>
      <c r="GA95" s="24"/>
      <c r="GB95" s="24"/>
      <c r="GC95" s="24"/>
      <c r="GD95" s="79"/>
      <c r="GE95" s="24"/>
      <c r="GF95" s="80"/>
      <c r="GI95" s="24"/>
      <c r="GJ95" s="24"/>
      <c r="GK95" s="24"/>
      <c r="GL95" s="79"/>
      <c r="GM95" s="24"/>
      <c r="GN95" s="80"/>
    </row>
    <row r="96" spans="1:196" ht="14.25">
      <c r="A96" s="230" t="s">
        <v>21</v>
      </c>
      <c r="B96" s="227" t="s">
        <v>15</v>
      </c>
      <c r="C96" s="228"/>
      <c r="D96" s="228"/>
      <c r="E96" s="229"/>
      <c r="F96" s="229"/>
      <c r="G96" s="229"/>
      <c r="H96" s="229"/>
      <c r="I96" s="220"/>
      <c r="P96" s="103">
        <v>24</v>
      </c>
      <c r="Q96" s="103"/>
      <c r="R96" s="103">
        <v>0.51</v>
      </c>
      <c r="S96" s="103"/>
      <c r="FK96" s="24"/>
      <c r="FL96" s="24"/>
      <c r="FM96" s="24"/>
      <c r="FN96" s="81" t="e">
        <f>($O$30*0.85)*FQ87*0.227</f>
        <v>#DIV/0!</v>
      </c>
      <c r="FO96" s="66" t="e">
        <f>$K$56*$L$56</f>
        <v>#DIV/0!</v>
      </c>
      <c r="FP96" s="82" t="e">
        <f>FQ87*FO96*0.227</f>
        <v>#N/A</v>
      </c>
      <c r="FS96" s="24"/>
      <c r="FT96" s="24"/>
      <c r="FU96" s="24"/>
      <c r="FV96" s="81" t="e">
        <f>($O$30*0.85)*FY87*0.227</f>
        <v>#DIV/0!</v>
      </c>
      <c r="FW96" s="66" t="e">
        <f>$K$56*$L$56</f>
        <v>#DIV/0!</v>
      </c>
      <c r="FX96" s="82" t="e">
        <f>FY87*FW96*0.227</f>
        <v>#N/A</v>
      </c>
      <c r="GA96" s="24"/>
      <c r="GB96" s="24"/>
      <c r="GC96" s="24"/>
      <c r="GD96" s="81" t="e">
        <f>($O$30*0.85)*GG87*0.227</f>
        <v>#DIV/0!</v>
      </c>
      <c r="GE96" s="66" t="e">
        <f>$K$56*$L$56</f>
        <v>#DIV/0!</v>
      </c>
      <c r="GF96" s="82" t="e">
        <f>GG87*GE96*0.227</f>
        <v>#N/A</v>
      </c>
      <c r="GI96" s="24"/>
      <c r="GJ96" s="24"/>
      <c r="GK96" s="24"/>
      <c r="GL96" s="81" t="e">
        <f>($O$30*0.85)*GO87*0.227</f>
        <v>#DIV/0!</v>
      </c>
      <c r="GM96" s="66" t="e">
        <f>$K$56*$L$56</f>
        <v>#DIV/0!</v>
      </c>
      <c r="GN96" s="82" t="e">
        <f>GO87*GM96*0.227</f>
        <v>#DIV/0!</v>
      </c>
    </row>
    <row r="97" spans="1:195" ht="14.25">
      <c r="A97" s="227"/>
      <c r="B97" s="227" t="s">
        <v>16</v>
      </c>
      <c r="C97" s="228"/>
      <c r="D97" s="228"/>
      <c r="E97" s="229"/>
      <c r="F97" s="229"/>
      <c r="G97" s="229"/>
      <c r="H97" s="229"/>
      <c r="I97" s="220"/>
      <c r="P97" s="103">
        <v>25</v>
      </c>
      <c r="Q97" s="103"/>
      <c r="R97" s="103">
        <v>1.2</v>
      </c>
      <c r="S97" s="103"/>
      <c r="FK97" s="31"/>
      <c r="FL97" s="31"/>
      <c r="FM97" s="24"/>
      <c r="FN97" s="31" t="e">
        <f>FF97+FN96</f>
        <v>#DIV/0!</v>
      </c>
      <c r="FO97" s="24"/>
      <c r="FS97" s="31"/>
      <c r="FT97" s="31"/>
      <c r="FU97" s="24"/>
      <c r="FV97" s="31" t="e">
        <f>FN97+FV96</f>
        <v>#DIV/0!</v>
      </c>
      <c r="FW97" s="24"/>
      <c r="GA97" s="31"/>
      <c r="GB97" s="31"/>
      <c r="GC97" s="24"/>
      <c r="GD97" s="31" t="e">
        <f>FV97+GD96</f>
        <v>#DIV/0!</v>
      </c>
      <c r="GE97" s="24"/>
      <c r="GI97" s="31"/>
      <c r="GJ97" s="31"/>
      <c r="GK97" s="24"/>
      <c r="GL97" s="31" t="e">
        <f>GD97+GL96</f>
        <v>#DIV/0!</v>
      </c>
      <c r="GM97" s="24"/>
    </row>
    <row r="98" spans="1:197" ht="14.25">
      <c r="A98" s="229"/>
      <c r="B98" s="229"/>
      <c r="C98" s="229"/>
      <c r="D98" s="229"/>
      <c r="E98" s="229"/>
      <c r="F98" s="229"/>
      <c r="G98" s="229"/>
      <c r="H98" s="229"/>
      <c r="I98" s="45"/>
      <c r="P98" s="103">
        <v>26</v>
      </c>
      <c r="Q98" s="103" t="s">
        <v>178</v>
      </c>
      <c r="R98" s="103">
        <v>0.21</v>
      </c>
      <c r="S98" s="103"/>
      <c r="FK98" s="24"/>
      <c r="FL98" s="24"/>
      <c r="FM98" s="24"/>
      <c r="FN98" s="24"/>
      <c r="FO98" s="73" t="s">
        <v>91</v>
      </c>
      <c r="FP98" s="83" t="e">
        <f>FH98+FP96</f>
        <v>#N/A</v>
      </c>
      <c r="FQ98" s="17" t="s">
        <v>92</v>
      </c>
      <c r="FS98" s="24"/>
      <c r="FT98" s="24"/>
      <c r="FU98" s="24"/>
      <c r="FV98" s="24"/>
      <c r="FW98" s="73" t="s">
        <v>91</v>
      </c>
      <c r="FX98" s="83" t="e">
        <f>FP98+FX96</f>
        <v>#N/A</v>
      </c>
      <c r="FY98" s="17" t="s">
        <v>92</v>
      </c>
      <c r="GA98" s="24"/>
      <c r="GB98" s="24"/>
      <c r="GC98" s="24"/>
      <c r="GD98" s="24"/>
      <c r="GE98" s="73" t="s">
        <v>91</v>
      </c>
      <c r="GF98" s="83" t="e">
        <f>FX98+GF96</f>
        <v>#N/A</v>
      </c>
      <c r="GG98" s="17" t="s">
        <v>92</v>
      </c>
      <c r="GI98" s="24"/>
      <c r="GJ98" s="24"/>
      <c r="GK98" s="24"/>
      <c r="GL98" s="24"/>
      <c r="GM98" s="73" t="s">
        <v>91</v>
      </c>
      <c r="GN98" s="83" t="e">
        <f>GF98+GN96</f>
        <v>#N/A</v>
      </c>
      <c r="GO98" s="17" t="s">
        <v>92</v>
      </c>
    </row>
    <row r="99" spans="1:19" ht="14.25">
      <c r="A99" s="229" t="s">
        <v>277</v>
      </c>
      <c r="B99" s="229" t="s">
        <v>327</v>
      </c>
      <c r="C99" s="229"/>
      <c r="D99" s="229"/>
      <c r="E99" s="229"/>
      <c r="F99" s="229"/>
      <c r="G99" s="229"/>
      <c r="H99" s="229"/>
      <c r="P99" s="103">
        <v>27</v>
      </c>
      <c r="Q99" s="103"/>
      <c r="R99" s="103">
        <v>0.98</v>
      </c>
      <c r="S99" s="103"/>
    </row>
    <row r="100" spans="1:19" ht="14.25">
      <c r="A100" s="229"/>
      <c r="B100" s="229"/>
      <c r="C100" s="229"/>
      <c r="D100" s="229"/>
      <c r="E100" s="229"/>
      <c r="F100" s="229"/>
      <c r="G100" s="229"/>
      <c r="H100" s="229"/>
      <c r="P100" s="103">
        <v>28</v>
      </c>
      <c r="Q100" s="103"/>
      <c r="R100" s="103">
        <v>0.29</v>
      </c>
      <c r="S100" s="103"/>
    </row>
    <row r="101" spans="1:19" ht="14.25">
      <c r="A101" s="229"/>
      <c r="B101" s="229" t="s">
        <v>279</v>
      </c>
      <c r="C101" s="229"/>
      <c r="D101" s="229"/>
      <c r="E101" s="229"/>
      <c r="F101" s="229"/>
      <c r="G101" s="229"/>
      <c r="H101" s="229"/>
      <c r="P101" s="103">
        <v>29</v>
      </c>
      <c r="Q101" s="103"/>
      <c r="R101" s="103">
        <v>0.64</v>
      </c>
      <c r="S101" s="103"/>
    </row>
    <row r="102" spans="1:19" ht="14.25">
      <c r="A102" s="229"/>
      <c r="B102" s="229"/>
      <c r="C102" s="229"/>
      <c r="D102" s="229"/>
      <c r="E102" s="229"/>
      <c r="F102" s="229"/>
      <c r="G102" s="229"/>
      <c r="H102" s="229"/>
      <c r="P102" s="103">
        <v>30</v>
      </c>
      <c r="Q102" s="103"/>
      <c r="R102" s="103">
        <v>1.88</v>
      </c>
      <c r="S102" s="103"/>
    </row>
    <row r="103" spans="1:19" ht="14.25">
      <c r="A103" s="234" t="s">
        <v>328</v>
      </c>
      <c r="B103" s="229" t="s">
        <v>329</v>
      </c>
      <c r="C103" s="229"/>
      <c r="D103" s="229"/>
      <c r="E103" s="229"/>
      <c r="F103" s="229"/>
      <c r="G103" s="229"/>
      <c r="H103" s="229"/>
      <c r="P103" s="103">
        <v>31</v>
      </c>
      <c r="Q103" s="103"/>
      <c r="R103" s="103">
        <v>0.7</v>
      </c>
      <c r="S103" s="103"/>
    </row>
    <row r="104" spans="1:21" ht="14.25">
      <c r="A104" s="229"/>
      <c r="B104" s="229"/>
      <c r="C104" s="229"/>
      <c r="D104" s="229"/>
      <c r="E104" s="229"/>
      <c r="F104" s="229"/>
      <c r="G104" s="229"/>
      <c r="H104" s="229"/>
      <c r="P104" s="103">
        <v>32</v>
      </c>
      <c r="Q104" s="103"/>
      <c r="R104" s="103">
        <v>1</v>
      </c>
      <c r="S104" s="103"/>
      <c r="T104" s="17">
        <v>4.91</v>
      </c>
      <c r="U104" s="108" t="s">
        <v>179</v>
      </c>
    </row>
    <row r="105" spans="1:19" ht="14.25">
      <c r="A105" s="229"/>
      <c r="B105" s="229"/>
      <c r="C105" s="229"/>
      <c r="D105" s="229"/>
      <c r="E105" s="229"/>
      <c r="F105" s="229"/>
      <c r="G105" s="229"/>
      <c r="H105" s="229"/>
      <c r="P105" s="103">
        <v>33</v>
      </c>
      <c r="Q105" s="103"/>
      <c r="R105" s="103">
        <v>0.14</v>
      </c>
      <c r="S105" s="103"/>
    </row>
    <row r="106" spans="1:19" ht="14.25">
      <c r="A106" s="229"/>
      <c r="B106" s="229"/>
      <c r="C106" s="229"/>
      <c r="D106" s="229"/>
      <c r="E106" s="229"/>
      <c r="F106" s="229"/>
      <c r="G106" s="229"/>
      <c r="H106" s="229"/>
      <c r="P106" s="103">
        <v>34</v>
      </c>
      <c r="Q106" s="103"/>
      <c r="R106" s="103">
        <v>0.32</v>
      </c>
      <c r="S106" s="103"/>
    </row>
    <row r="107" spans="1:19" ht="14.25">
      <c r="A107" s="229"/>
      <c r="B107" s="229"/>
      <c r="C107" s="229"/>
      <c r="D107" s="229"/>
      <c r="E107" s="229"/>
      <c r="F107" s="229"/>
      <c r="G107" s="229"/>
      <c r="H107" s="229"/>
      <c r="P107" s="103">
        <v>35</v>
      </c>
      <c r="Q107" s="103" t="s">
        <v>180</v>
      </c>
      <c r="R107" s="103">
        <v>0.72</v>
      </c>
      <c r="S107" s="103"/>
    </row>
    <row r="108" spans="1:19" ht="14.25">
      <c r="A108" s="229"/>
      <c r="B108" s="229"/>
      <c r="C108" s="229"/>
      <c r="D108" s="229"/>
      <c r="E108" s="229"/>
      <c r="F108" s="229"/>
      <c r="G108" s="229"/>
      <c r="H108" s="229"/>
      <c r="P108" s="103">
        <v>36</v>
      </c>
      <c r="Q108" s="103"/>
      <c r="R108" s="103">
        <v>0.16</v>
      </c>
      <c r="S108" s="103"/>
    </row>
    <row r="109" spans="1:19" ht="14.25">
      <c r="A109" s="229"/>
      <c r="B109" s="229"/>
      <c r="C109" s="229"/>
      <c r="D109" s="229"/>
      <c r="E109" s="229"/>
      <c r="F109" s="229"/>
      <c r="G109" s="229"/>
      <c r="H109" s="229"/>
      <c r="P109" s="103">
        <v>37</v>
      </c>
      <c r="Q109" s="103"/>
      <c r="R109" s="103">
        <v>0.32</v>
      </c>
      <c r="S109" s="103"/>
    </row>
    <row r="110" spans="1:19" ht="14.25">
      <c r="A110" s="229"/>
      <c r="B110" s="229"/>
      <c r="C110" s="229"/>
      <c r="D110" s="229"/>
      <c r="E110" s="229"/>
      <c r="F110" s="229"/>
      <c r="G110" s="229"/>
      <c r="H110" s="229"/>
      <c r="P110" s="103">
        <v>38</v>
      </c>
      <c r="Q110" s="103"/>
      <c r="R110" s="103">
        <v>0.83</v>
      </c>
      <c r="S110" s="103"/>
    </row>
    <row r="111" spans="1:19" ht="14.25">
      <c r="A111" s="229"/>
      <c r="B111" s="229"/>
      <c r="C111" s="229"/>
      <c r="D111" s="229"/>
      <c r="E111" s="229"/>
      <c r="F111" s="229"/>
      <c r="G111" s="229"/>
      <c r="H111" s="229"/>
      <c r="P111" s="103">
        <v>39</v>
      </c>
      <c r="Q111" s="103"/>
      <c r="R111" s="103">
        <v>0.7</v>
      </c>
      <c r="S111" s="103"/>
    </row>
    <row r="112" spans="1:19" ht="15">
      <c r="A112" s="5"/>
      <c r="B112" s="231"/>
      <c r="C112" s="231"/>
      <c r="D112" s="231"/>
      <c r="E112" s="231"/>
      <c r="F112" s="231"/>
      <c r="G112" s="231"/>
      <c r="H112" s="231"/>
      <c r="P112" s="103">
        <v>40</v>
      </c>
      <c r="Q112" s="103" t="s">
        <v>181</v>
      </c>
      <c r="R112" s="103">
        <v>0.47</v>
      </c>
      <c r="S112" s="103"/>
    </row>
    <row r="113" spans="1:19" ht="14.25">
      <c r="A113" s="232"/>
      <c r="B113" s="233"/>
      <c r="C113" s="231"/>
      <c r="D113" s="231"/>
      <c r="E113" s="231"/>
      <c r="F113" s="231"/>
      <c r="G113" s="231"/>
      <c r="H113" s="231"/>
      <c r="P113" s="103">
        <v>41</v>
      </c>
      <c r="Q113" s="103"/>
      <c r="R113" s="103">
        <v>0.25</v>
      </c>
      <c r="S113" s="103"/>
    </row>
    <row r="114" spans="1:19" ht="14.25">
      <c r="A114" s="232"/>
      <c r="B114" s="231"/>
      <c r="C114" s="231"/>
      <c r="D114" s="231"/>
      <c r="E114" s="231"/>
      <c r="F114" s="231"/>
      <c r="G114" s="231"/>
      <c r="H114" s="231"/>
      <c r="P114" s="103">
        <v>42</v>
      </c>
      <c r="Q114" s="103"/>
      <c r="R114" s="103">
        <v>0.72</v>
      </c>
      <c r="S114" s="103"/>
    </row>
    <row r="115" spans="1:19" ht="14.25">
      <c r="A115" s="232"/>
      <c r="B115" s="233"/>
      <c r="C115" s="231"/>
      <c r="D115" s="231"/>
      <c r="E115" s="231"/>
      <c r="F115" s="231"/>
      <c r="G115" s="231"/>
      <c r="H115" s="231"/>
      <c r="P115" s="103">
        <v>43</v>
      </c>
      <c r="Q115" s="103"/>
      <c r="R115" s="103">
        <v>0.58</v>
      </c>
      <c r="S115" s="103"/>
    </row>
    <row r="116" spans="1:19" ht="14.25">
      <c r="A116" s="232"/>
      <c r="B116" s="233"/>
      <c r="C116" s="231"/>
      <c r="D116" s="231"/>
      <c r="E116" s="231"/>
      <c r="F116" s="231"/>
      <c r="G116" s="231"/>
      <c r="H116" s="231"/>
      <c r="P116" s="103">
        <v>44</v>
      </c>
      <c r="Q116" s="103"/>
      <c r="R116" s="103">
        <v>0.18</v>
      </c>
      <c r="S116" s="103"/>
    </row>
    <row r="117" spans="1:19" ht="14.25">
      <c r="A117" s="232"/>
      <c r="B117" s="233"/>
      <c r="C117" s="231"/>
      <c r="D117" s="231"/>
      <c r="E117" s="231"/>
      <c r="F117" s="231"/>
      <c r="G117" s="231"/>
      <c r="H117" s="231"/>
      <c r="P117" s="103">
        <v>45</v>
      </c>
      <c r="Q117" s="103"/>
      <c r="R117" s="103">
        <v>0.2</v>
      </c>
      <c r="S117" s="103"/>
    </row>
    <row r="118" spans="1:19" ht="14.25">
      <c r="A118" s="232"/>
      <c r="B118" s="233"/>
      <c r="C118" s="231"/>
      <c r="D118" s="231"/>
      <c r="E118" s="231"/>
      <c r="F118" s="231"/>
      <c r="G118" s="231"/>
      <c r="H118" s="231"/>
      <c r="P118" s="103">
        <v>46</v>
      </c>
      <c r="Q118" s="103" t="s">
        <v>182</v>
      </c>
      <c r="R118" s="103">
        <v>2.67</v>
      </c>
      <c r="S118" s="103"/>
    </row>
    <row r="119" spans="1:19" ht="14.25">
      <c r="A119" s="6"/>
      <c r="B119" s="12"/>
      <c r="C119" s="2"/>
      <c r="D119" s="2"/>
      <c r="E119" s="2"/>
      <c r="F119" s="2"/>
      <c r="G119" s="2"/>
      <c r="H119" s="2"/>
      <c r="P119" s="103">
        <v>47</v>
      </c>
      <c r="Q119" s="103"/>
      <c r="R119" s="103">
        <v>1.6</v>
      </c>
      <c r="S119" s="103"/>
    </row>
    <row r="120" spans="16:19" ht="14.25">
      <c r="P120" s="103">
        <v>48</v>
      </c>
      <c r="Q120" s="103"/>
      <c r="R120" s="103">
        <v>0.36</v>
      </c>
      <c r="S120" s="103"/>
    </row>
    <row r="121" spans="16:19" ht="14.25">
      <c r="P121" s="103">
        <v>49</v>
      </c>
      <c r="Q121" s="103"/>
      <c r="R121" s="103">
        <v>0.27</v>
      </c>
      <c r="S121" s="103"/>
    </row>
    <row r="122" spans="16:19" ht="14.25">
      <c r="P122" s="103">
        <v>50</v>
      </c>
      <c r="Q122" s="103"/>
      <c r="R122" s="103">
        <v>0.1</v>
      </c>
      <c r="S122" s="103"/>
    </row>
    <row r="123" spans="16:19" ht="14.25">
      <c r="P123" s="103">
        <v>51</v>
      </c>
      <c r="Q123" s="103" t="s">
        <v>183</v>
      </c>
      <c r="R123" s="103">
        <v>0.14</v>
      </c>
      <c r="S123" s="103"/>
    </row>
    <row r="124" spans="16:19" ht="14.25">
      <c r="P124" s="103">
        <v>52</v>
      </c>
      <c r="Q124" s="103"/>
      <c r="R124" s="103">
        <v>0.39</v>
      </c>
      <c r="S124" s="103"/>
    </row>
    <row r="125" spans="16:19" ht="14.25">
      <c r="P125" s="103">
        <v>53</v>
      </c>
      <c r="Q125" s="103"/>
      <c r="R125" s="103">
        <v>0.2</v>
      </c>
      <c r="S125" s="103"/>
    </row>
    <row r="126" spans="16:19" ht="14.25">
      <c r="P126" s="103">
        <v>54</v>
      </c>
      <c r="Q126" s="103"/>
      <c r="R126" s="103">
        <v>0.37</v>
      </c>
      <c r="S126" s="103"/>
    </row>
    <row r="127" spans="16:19" ht="14.25">
      <c r="P127" s="103">
        <v>55</v>
      </c>
      <c r="Q127" s="103"/>
      <c r="R127" s="103">
        <v>0.19</v>
      </c>
      <c r="S127" s="103"/>
    </row>
    <row r="128" spans="16:19" ht="14.25">
      <c r="P128" s="103">
        <v>56</v>
      </c>
      <c r="Q128" s="103"/>
      <c r="R128" s="103">
        <v>0.51</v>
      </c>
      <c r="S128" s="103"/>
    </row>
    <row r="129" spans="16:19" ht="14.25">
      <c r="P129" s="103">
        <v>57</v>
      </c>
      <c r="Q129" s="103"/>
      <c r="R129" s="103">
        <v>0.13</v>
      </c>
      <c r="S129" s="103"/>
    </row>
    <row r="130" spans="16:19" ht="14.25">
      <c r="P130" s="103">
        <v>58</v>
      </c>
      <c r="Q130" s="103"/>
      <c r="R130" s="103">
        <v>0.13</v>
      </c>
      <c r="S130" s="103"/>
    </row>
    <row r="131" spans="16:19" ht="14.25">
      <c r="P131" s="103">
        <v>59</v>
      </c>
      <c r="Q131" s="103"/>
      <c r="R131" s="103">
        <v>0.3</v>
      </c>
      <c r="S131" s="103"/>
    </row>
    <row r="132" spans="16:19" ht="14.25">
      <c r="P132" s="103">
        <v>60</v>
      </c>
      <c r="Q132" s="103" t="s">
        <v>184</v>
      </c>
      <c r="R132" s="103">
        <v>0.47</v>
      </c>
      <c r="S132" s="103"/>
    </row>
    <row r="133" spans="16:19" ht="14.25">
      <c r="P133" s="103">
        <v>61</v>
      </c>
      <c r="Q133" s="103"/>
      <c r="R133" s="103">
        <v>0.24</v>
      </c>
      <c r="S133" s="103"/>
    </row>
    <row r="134" spans="16:19" ht="14.25">
      <c r="P134" s="103">
        <v>62</v>
      </c>
      <c r="Q134" s="103"/>
      <c r="R134" s="103">
        <v>0.2</v>
      </c>
      <c r="S134" s="103"/>
    </row>
    <row r="135" spans="16:19" ht="14.25">
      <c r="P135" s="103">
        <v>63</v>
      </c>
      <c r="Q135" s="103"/>
      <c r="R135" s="103">
        <v>0.27</v>
      </c>
      <c r="S135" s="103"/>
    </row>
    <row r="136" spans="16:19" ht="14.25">
      <c r="P136" s="103">
        <v>64</v>
      </c>
      <c r="Q136" s="103"/>
      <c r="R136" s="103">
        <v>0.11</v>
      </c>
      <c r="S136" s="103"/>
    </row>
    <row r="137" spans="16:19" ht="14.25">
      <c r="P137" s="103">
        <v>65</v>
      </c>
      <c r="Q137" s="103"/>
      <c r="R137" s="103">
        <v>0.14</v>
      </c>
      <c r="S137" s="103"/>
    </row>
    <row r="138" spans="16:19" ht="14.25">
      <c r="P138" s="103">
        <v>66</v>
      </c>
      <c r="Q138" s="103" t="s">
        <v>185</v>
      </c>
      <c r="R138" s="103">
        <v>0.92</v>
      </c>
      <c r="S138" s="103"/>
    </row>
    <row r="139" spans="16:19" ht="14.25">
      <c r="P139" s="103">
        <v>67</v>
      </c>
      <c r="Q139" s="103"/>
      <c r="R139" s="103">
        <v>0.35</v>
      </c>
      <c r="S139" s="103"/>
    </row>
    <row r="140" spans="16:19" ht="14.25">
      <c r="P140" s="103">
        <v>68</v>
      </c>
      <c r="Q140" s="103"/>
      <c r="R140" s="103">
        <v>0.44</v>
      </c>
      <c r="S140" s="103"/>
    </row>
    <row r="141" spans="16:19" ht="14.25">
      <c r="P141" s="103">
        <v>69</v>
      </c>
      <c r="Q141" s="103"/>
      <c r="R141" s="103">
        <v>0.27</v>
      </c>
      <c r="S141" s="103"/>
    </row>
    <row r="142" spans="16:19" ht="14.25">
      <c r="P142" s="103">
        <v>70</v>
      </c>
      <c r="Q142" s="103"/>
      <c r="R142" s="103"/>
      <c r="S142" s="103"/>
    </row>
    <row r="143" spans="16:19" ht="14.25">
      <c r="P143" s="103"/>
      <c r="Q143" s="103"/>
      <c r="R143" s="103"/>
      <c r="S143" s="103"/>
    </row>
    <row r="144" spans="16:19" ht="14.25">
      <c r="P144" s="103"/>
      <c r="Q144" s="103"/>
      <c r="R144" s="103"/>
      <c r="S144" s="103"/>
    </row>
    <row r="145" spans="16:19" ht="14.25">
      <c r="P145" s="103"/>
      <c r="Q145" s="103"/>
      <c r="R145" s="103"/>
      <c r="S145" s="103"/>
    </row>
    <row r="146" spans="16:19" ht="14.25">
      <c r="P146" s="103"/>
      <c r="Q146" s="104" t="s">
        <v>186</v>
      </c>
      <c r="R146" s="91">
        <f>SUM($R$73:$R$145)</f>
        <v>30.929999999999996</v>
      </c>
      <c r="S146" s="103"/>
    </row>
    <row r="147" spans="16:19" ht="14.25">
      <c r="P147" s="103"/>
      <c r="Q147" s="103"/>
      <c r="R147" s="103"/>
      <c r="S147" s="103"/>
    </row>
    <row r="148" spans="16:19" ht="14.25">
      <c r="P148" s="103"/>
      <c r="Q148" s="104" t="s">
        <v>187</v>
      </c>
      <c r="R148" s="91" t="e">
        <f>T25</f>
        <v>#DIV/0!</v>
      </c>
      <c r="S148" s="103"/>
    </row>
    <row r="149" spans="16:19" ht="14.25">
      <c r="P149" s="103"/>
      <c r="Q149" s="103"/>
      <c r="R149" s="103"/>
      <c r="S149" s="103"/>
    </row>
    <row r="150" spans="16:19" ht="14.25">
      <c r="P150" s="103"/>
      <c r="Q150" s="104" t="s">
        <v>188</v>
      </c>
      <c r="R150" s="109" t="e">
        <f>O70</f>
        <v>#N/A</v>
      </c>
      <c r="S150" s="103"/>
    </row>
    <row r="151" spans="16:19" ht="14.25">
      <c r="P151" s="103"/>
      <c r="Q151" s="103"/>
      <c r="R151" s="103"/>
      <c r="S151" s="103"/>
    </row>
  </sheetData>
  <sheetProtection sheet="1" objects="1" scenarios="1"/>
  <printOptions/>
  <pageMargins left="0.89" right="0.5" top="0.5" bottom="0.25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2"/>
  <dimension ref="A1:HQ15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3" width="10.28125" style="17" customWidth="1"/>
    <col min="14" max="14" width="12.00390625" style="17" customWidth="1"/>
    <col min="15" max="16384" width="10.28125" style="17" customWidth="1"/>
  </cols>
  <sheetData>
    <row r="1" spans="2:32" ht="18">
      <c r="B1" s="18" t="s">
        <v>281</v>
      </c>
      <c r="C1" s="18"/>
      <c r="I1" s="110"/>
      <c r="K1" s="19" t="s">
        <v>25</v>
      </c>
      <c r="L1" s="20"/>
      <c r="M1" s="21" t="s">
        <v>26</v>
      </c>
      <c r="N1" s="20"/>
      <c r="O1" s="20" t="s">
        <v>27</v>
      </c>
      <c r="P1" s="22"/>
      <c r="Q1" s="23"/>
      <c r="R1" s="23"/>
      <c r="S1" s="23"/>
      <c r="T1" s="23"/>
      <c r="U1" s="23"/>
      <c r="Y1" s="24"/>
      <c r="Z1" s="24"/>
      <c r="AA1" s="25"/>
      <c r="AB1" s="25"/>
      <c r="AC1" s="25"/>
      <c r="AD1" s="24"/>
      <c r="AE1" s="24"/>
      <c r="AF1" s="24"/>
    </row>
    <row r="2" spans="11:32" ht="14.25">
      <c r="K2" s="19" t="s">
        <v>28</v>
      </c>
      <c r="L2" s="20"/>
      <c r="M2" s="20"/>
      <c r="N2" s="20"/>
      <c r="O2" s="20"/>
      <c r="P2" s="22"/>
      <c r="Q2" s="26"/>
      <c r="R2" s="26" t="s">
        <v>29</v>
      </c>
      <c r="S2" s="26" t="s">
        <v>0</v>
      </c>
      <c r="T2" s="23"/>
      <c r="U2" s="23"/>
      <c r="Y2" s="24"/>
      <c r="Z2" s="24"/>
      <c r="AA2" s="25"/>
      <c r="AB2" s="25"/>
      <c r="AC2" s="25"/>
      <c r="AD2" s="24"/>
      <c r="AE2" s="24"/>
      <c r="AF2" s="24"/>
    </row>
    <row r="3" spans="1:32" ht="15">
      <c r="A3" s="27" t="s">
        <v>30</v>
      </c>
      <c r="B3" s="111"/>
      <c r="C3" s="111"/>
      <c r="D3" s="27"/>
      <c r="E3" s="27" t="s">
        <v>31</v>
      </c>
      <c r="F3" s="111"/>
      <c r="G3" s="111"/>
      <c r="H3" s="28" t="s">
        <v>1</v>
      </c>
      <c r="I3" s="29">
        <f ca="1">TODAY()</f>
        <v>42599</v>
      </c>
      <c r="K3" s="19"/>
      <c r="L3" s="20"/>
      <c r="M3" s="20"/>
      <c r="N3" s="30" t="s">
        <v>0</v>
      </c>
      <c r="O3" s="21" t="s">
        <v>32</v>
      </c>
      <c r="P3" s="22"/>
      <c r="Q3" s="23"/>
      <c r="R3" s="23">
        <v>1</v>
      </c>
      <c r="S3" s="23">
        <v>90</v>
      </c>
      <c r="T3" s="23" t="s">
        <v>33</v>
      </c>
      <c r="U3" s="23"/>
      <c r="Y3" s="24"/>
      <c r="Z3" s="24"/>
      <c r="AA3" s="24"/>
      <c r="AB3" s="31"/>
      <c r="AC3" s="31"/>
      <c r="AD3" s="24"/>
      <c r="AE3" s="24"/>
      <c r="AF3" s="24"/>
    </row>
    <row r="4" spans="11:32" ht="14.25">
      <c r="K4" s="32"/>
      <c r="L4" s="33" t="s">
        <v>34</v>
      </c>
      <c r="M4" s="34">
        <f>$D$10</f>
        <v>0</v>
      </c>
      <c r="N4" s="34">
        <v>95</v>
      </c>
      <c r="O4" s="34" t="e">
        <f>N4-(N4-N5)*M5/L8</f>
        <v>#N/A</v>
      </c>
      <c r="P4" s="35"/>
      <c r="Q4" s="23"/>
      <c r="R4" s="23">
        <v>2</v>
      </c>
      <c r="S4" s="23">
        <v>88</v>
      </c>
      <c r="T4" s="23" t="s">
        <v>35</v>
      </c>
      <c r="U4" s="23"/>
      <c r="Y4" s="24"/>
      <c r="Z4" s="24"/>
      <c r="AA4" s="24"/>
      <c r="AB4" s="31"/>
      <c r="AC4" s="31"/>
      <c r="AD4" s="24"/>
      <c r="AE4" s="24"/>
      <c r="AF4" s="24"/>
    </row>
    <row r="5" spans="1:32" ht="14.25">
      <c r="A5" s="24"/>
      <c r="B5" s="24"/>
      <c r="C5" s="24"/>
      <c r="D5" s="73"/>
      <c r="E5" s="24"/>
      <c r="F5" s="24"/>
      <c r="G5" s="24"/>
      <c r="H5" s="24"/>
      <c r="I5" s="45"/>
      <c r="K5" s="36"/>
      <c r="L5" s="37" t="s">
        <v>36</v>
      </c>
      <c r="M5" s="38">
        <f>D11</f>
        <v>0</v>
      </c>
      <c r="N5" s="38" t="e">
        <f>VLOOKUP(C19,R3:S5,2)</f>
        <v>#N/A</v>
      </c>
      <c r="O5" s="38"/>
      <c r="P5" s="39"/>
      <c r="Q5" s="23"/>
      <c r="R5" s="23">
        <v>3</v>
      </c>
      <c r="S5" s="23">
        <v>85</v>
      </c>
      <c r="T5" s="23" t="s">
        <v>37</v>
      </c>
      <c r="U5" s="23"/>
      <c r="Y5" s="24"/>
      <c r="Z5" s="24"/>
      <c r="AA5" s="24"/>
      <c r="AB5" s="31"/>
      <c r="AC5" s="31"/>
      <c r="AD5" s="24"/>
      <c r="AE5" s="24"/>
      <c r="AF5" s="24"/>
    </row>
    <row r="6" spans="1:197" ht="14.25">
      <c r="A6" s="127"/>
      <c r="B6" s="127"/>
      <c r="C6" s="127"/>
      <c r="D6" s="206" t="s">
        <v>3</v>
      </c>
      <c r="E6" s="206" t="s">
        <v>38</v>
      </c>
      <c r="F6" s="127">
        <v>1</v>
      </c>
      <c r="G6" s="127" t="s">
        <v>39</v>
      </c>
      <c r="H6" s="127"/>
      <c r="I6" s="127"/>
      <c r="K6" s="34" t="s">
        <v>40</v>
      </c>
      <c r="L6" s="34"/>
      <c r="M6" s="34"/>
      <c r="N6" s="34"/>
      <c r="O6" s="34"/>
      <c r="P6" s="35"/>
      <c r="Q6" s="23"/>
      <c r="R6" s="23"/>
      <c r="S6" s="23"/>
      <c r="T6" s="23"/>
      <c r="U6" s="23"/>
      <c r="Y6" s="17">
        <f>VLOOKUP(1,$P$73:$S$128,$R$71+1)</f>
        <v>0.26</v>
      </c>
      <c r="Z6" s="17" t="s">
        <v>17</v>
      </c>
      <c r="AB6" s="24"/>
      <c r="AC6" s="24"/>
      <c r="AD6" s="24"/>
      <c r="AG6" s="17">
        <f>VLOOKUP(2,$P$73:$S$128,$R$71+1)</f>
        <v>0.13</v>
      </c>
      <c r="AH6" s="17" t="s">
        <v>17</v>
      </c>
      <c r="AJ6" s="24"/>
      <c r="AK6" s="24"/>
      <c r="AO6" s="17">
        <f>VLOOKUP(3,$P$73:$S$128,$R$71+1)</f>
        <v>0.1</v>
      </c>
      <c r="AP6" s="17" t="s">
        <v>17</v>
      </c>
      <c r="AR6" s="24"/>
      <c r="AS6" s="24"/>
      <c r="AW6" s="17">
        <f>VLOOKUP(4,$P$73:$S$128,$R$71+1)</f>
        <v>0.1</v>
      </c>
      <c r="AX6" s="17" t="s">
        <v>17</v>
      </c>
      <c r="AZ6" s="24"/>
      <c r="BA6" s="24"/>
      <c r="BE6" s="17">
        <f>VLOOKUP(4,$P$73:$S$128,$R$71+1)</f>
        <v>0.1</v>
      </c>
      <c r="BF6" s="17" t="s">
        <v>17</v>
      </c>
      <c r="BH6" s="24"/>
      <c r="BI6" s="24"/>
      <c r="BM6" s="17">
        <f>VLOOKUP(5,$P$73:$S$128,$R$71+1)</f>
        <v>0.2</v>
      </c>
      <c r="BN6" s="17" t="s">
        <v>17</v>
      </c>
      <c r="BP6" s="24"/>
      <c r="BQ6" s="24"/>
      <c r="BU6" s="17">
        <f>VLOOKUP(6,$P$73:$S$128,$R$71+1)</f>
        <v>0.16</v>
      </c>
      <c r="BV6" s="17" t="s">
        <v>17</v>
      </c>
      <c r="BX6" s="24"/>
      <c r="BY6" s="24"/>
      <c r="CC6" s="17">
        <f>VLOOKUP(7,$P$73:$S$128,$R$71+1)</f>
        <v>0.55</v>
      </c>
      <c r="CD6" s="17" t="s">
        <v>17</v>
      </c>
      <c r="CF6" s="24"/>
      <c r="CG6" s="24"/>
      <c r="CK6" s="17">
        <f>VLOOKUP(8,$P$73:$S$128,$R$71+1)</f>
        <v>0.64</v>
      </c>
      <c r="CL6" s="17" t="s">
        <v>17</v>
      </c>
      <c r="CN6" s="24"/>
      <c r="CO6" s="24"/>
      <c r="CS6" s="17">
        <f>VLOOKUP(10,$P$73:$S$128,$R$71+1)</f>
        <v>1.02</v>
      </c>
      <c r="CT6" s="17" t="s">
        <v>17</v>
      </c>
      <c r="CV6" s="24"/>
      <c r="CW6" s="24"/>
      <c r="DA6" s="17">
        <f>VLOOKUP(11,$P$73:$S$128,$R$71+1)</f>
        <v>0.62</v>
      </c>
      <c r="DB6" s="17" t="s">
        <v>17</v>
      </c>
      <c r="DD6" s="24"/>
      <c r="DE6" s="24"/>
      <c r="DI6" s="17">
        <f>VLOOKUP(12,$P$73:$S$128,$R$71+1)</f>
        <v>0.13</v>
      </c>
      <c r="DJ6" s="17" t="s">
        <v>17</v>
      </c>
      <c r="DL6" s="24"/>
      <c r="DM6" s="24"/>
      <c r="DQ6" s="17">
        <f>VLOOKUP(13,$P$73:$S$128,$R$71+1)</f>
        <v>0.17</v>
      </c>
      <c r="DR6" s="17" t="s">
        <v>17</v>
      </c>
      <c r="DT6" s="24"/>
      <c r="DU6" s="24"/>
      <c r="DY6" s="17">
        <f>VLOOKUP(14,$P$73:$S$128,$R$71+1)</f>
        <v>0.1</v>
      </c>
      <c r="DZ6" s="17" t="s">
        <v>17</v>
      </c>
      <c r="EB6" s="24"/>
      <c r="EC6" s="24"/>
      <c r="EG6" s="17">
        <f>VLOOKUP(15,$P$73:$S$128,$R$71+1)</f>
        <v>0.1</v>
      </c>
      <c r="EH6" s="17" t="s">
        <v>17</v>
      </c>
      <c r="EJ6" s="24"/>
      <c r="EK6" s="24"/>
      <c r="EO6" s="17">
        <f>VLOOKUP(16,$P$73:$S$128,$R$71+1)</f>
        <v>0.12</v>
      </c>
      <c r="EP6" s="17" t="s">
        <v>17</v>
      </c>
      <c r="ER6" s="24"/>
      <c r="ES6" s="24"/>
      <c r="EW6" s="17">
        <f>VLOOKUP(17,$P$73:$S$128,$R$71+1)</f>
        <v>0.24</v>
      </c>
      <c r="EX6" s="17" t="s">
        <v>17</v>
      </c>
      <c r="EZ6" s="24"/>
      <c r="FA6" s="24"/>
      <c r="FE6" s="17">
        <f>VLOOKUP(18,$P$73:$S$128,$R$71+1)</f>
        <v>0.1</v>
      </c>
      <c r="FF6" s="17" t="s">
        <v>17</v>
      </c>
      <c r="FH6" s="24"/>
      <c r="FI6" s="24"/>
      <c r="FM6" s="17">
        <f>VLOOKUP(19,$P$73:$S$128,$R$71+1)</f>
        <v>0.11</v>
      </c>
      <c r="FN6" s="17" t="s">
        <v>17</v>
      </c>
      <c r="FP6" s="24"/>
      <c r="FQ6" s="24"/>
      <c r="FU6" s="17">
        <f>VLOOKUP(20,$P$73:$S$128,$R$71+1)</f>
        <v>1.01</v>
      </c>
      <c r="FV6" s="17" t="s">
        <v>17</v>
      </c>
      <c r="FX6" s="24"/>
      <c r="FY6" s="24"/>
      <c r="GC6" s="17">
        <f>VLOOKUP(21,$P$73:$S$128,$R$71+1)</f>
        <v>0.64</v>
      </c>
      <c r="GD6" s="17" t="s">
        <v>17</v>
      </c>
      <c r="GF6" s="24"/>
      <c r="GG6" s="24"/>
      <c r="GK6" s="17">
        <f>VLOOKUP(22,$P$73:$S$128,$R$71+1)</f>
        <v>0.36</v>
      </c>
      <c r="GL6" s="17" t="s">
        <v>17</v>
      </c>
      <c r="GN6" s="24"/>
      <c r="GO6" s="24"/>
    </row>
    <row r="7" spans="1:197" ht="14.25">
      <c r="A7" s="120"/>
      <c r="B7" s="120"/>
      <c r="C7" s="120"/>
      <c r="D7" s="120"/>
      <c r="E7" s="120"/>
      <c r="F7" s="120">
        <v>2</v>
      </c>
      <c r="G7" s="120" t="s">
        <v>41</v>
      </c>
      <c r="H7" s="120"/>
      <c r="I7" s="120"/>
      <c r="K7" s="19"/>
      <c r="L7" s="20" t="s">
        <v>42</v>
      </c>
      <c r="M7" s="20" t="s">
        <v>43</v>
      </c>
      <c r="N7" s="30" t="s">
        <v>0</v>
      </c>
      <c r="O7" s="30" t="s">
        <v>44</v>
      </c>
      <c r="P7" s="20" t="s">
        <v>45</v>
      </c>
      <c r="Q7" s="22" t="s">
        <v>46</v>
      </c>
      <c r="R7" s="23"/>
      <c r="S7" s="23"/>
      <c r="T7" s="23"/>
      <c r="U7" s="23"/>
      <c r="W7" s="40"/>
      <c r="X7" s="41" t="s">
        <v>42</v>
      </c>
      <c r="Y7" s="41" t="s">
        <v>43</v>
      </c>
      <c r="Z7" s="42" t="s">
        <v>0</v>
      </c>
      <c r="AA7" s="42" t="s">
        <v>44</v>
      </c>
      <c r="AB7" s="41" t="s">
        <v>45</v>
      </c>
      <c r="AC7" s="43" t="s">
        <v>46</v>
      </c>
      <c r="AD7" s="25"/>
      <c r="AE7" s="40"/>
      <c r="AF7" s="41" t="s">
        <v>42</v>
      </c>
      <c r="AG7" s="41" t="s">
        <v>43</v>
      </c>
      <c r="AH7" s="42" t="s">
        <v>0</v>
      </c>
      <c r="AI7" s="42" t="s">
        <v>44</v>
      </c>
      <c r="AJ7" s="41" t="s">
        <v>45</v>
      </c>
      <c r="AK7" s="43" t="s">
        <v>46</v>
      </c>
      <c r="AM7" s="40"/>
      <c r="AN7" s="41" t="s">
        <v>42</v>
      </c>
      <c r="AO7" s="41" t="s">
        <v>43</v>
      </c>
      <c r="AP7" s="42" t="s">
        <v>0</v>
      </c>
      <c r="AQ7" s="42" t="s">
        <v>44</v>
      </c>
      <c r="AR7" s="41" t="s">
        <v>45</v>
      </c>
      <c r="AS7" s="43" t="s">
        <v>46</v>
      </c>
      <c r="AU7" s="40"/>
      <c r="AV7" s="41" t="s">
        <v>42</v>
      </c>
      <c r="AW7" s="41" t="s">
        <v>43</v>
      </c>
      <c r="AX7" s="42" t="s">
        <v>0</v>
      </c>
      <c r="AY7" s="42" t="s">
        <v>44</v>
      </c>
      <c r="AZ7" s="41" t="s">
        <v>45</v>
      </c>
      <c r="BA7" s="43" t="s">
        <v>46</v>
      </c>
      <c r="BC7" s="40"/>
      <c r="BD7" s="41" t="s">
        <v>42</v>
      </c>
      <c r="BE7" s="41" t="s">
        <v>43</v>
      </c>
      <c r="BF7" s="42" t="s">
        <v>0</v>
      </c>
      <c r="BG7" s="42" t="s">
        <v>44</v>
      </c>
      <c r="BH7" s="41" t="s">
        <v>45</v>
      </c>
      <c r="BI7" s="43" t="s">
        <v>46</v>
      </c>
      <c r="BK7" s="40"/>
      <c r="BL7" s="41" t="s">
        <v>42</v>
      </c>
      <c r="BM7" s="41" t="s">
        <v>43</v>
      </c>
      <c r="BN7" s="42" t="s">
        <v>0</v>
      </c>
      <c r="BO7" s="42" t="s">
        <v>44</v>
      </c>
      <c r="BP7" s="41" t="s">
        <v>45</v>
      </c>
      <c r="BQ7" s="43" t="s">
        <v>46</v>
      </c>
      <c r="BS7" s="40"/>
      <c r="BT7" s="41" t="s">
        <v>42</v>
      </c>
      <c r="BU7" s="41" t="s">
        <v>43</v>
      </c>
      <c r="BV7" s="42" t="s">
        <v>0</v>
      </c>
      <c r="BW7" s="42" t="s">
        <v>44</v>
      </c>
      <c r="BX7" s="41" t="s">
        <v>45</v>
      </c>
      <c r="BY7" s="43" t="s">
        <v>46</v>
      </c>
      <c r="CA7" s="40"/>
      <c r="CB7" s="41" t="s">
        <v>42</v>
      </c>
      <c r="CC7" s="41" t="s">
        <v>43</v>
      </c>
      <c r="CD7" s="42" t="s">
        <v>0</v>
      </c>
      <c r="CE7" s="42" t="s">
        <v>44</v>
      </c>
      <c r="CF7" s="41" t="s">
        <v>45</v>
      </c>
      <c r="CG7" s="43" t="s">
        <v>46</v>
      </c>
      <c r="CI7" s="40"/>
      <c r="CJ7" s="41" t="s">
        <v>42</v>
      </c>
      <c r="CK7" s="41" t="s">
        <v>43</v>
      </c>
      <c r="CL7" s="42" t="s">
        <v>0</v>
      </c>
      <c r="CM7" s="42" t="s">
        <v>44</v>
      </c>
      <c r="CN7" s="41" t="s">
        <v>45</v>
      </c>
      <c r="CO7" s="43" t="s">
        <v>46</v>
      </c>
      <c r="CQ7" s="40"/>
      <c r="CR7" s="41" t="s">
        <v>42</v>
      </c>
      <c r="CS7" s="41" t="s">
        <v>43</v>
      </c>
      <c r="CT7" s="42" t="s">
        <v>0</v>
      </c>
      <c r="CU7" s="42" t="s">
        <v>44</v>
      </c>
      <c r="CV7" s="41" t="s">
        <v>45</v>
      </c>
      <c r="CW7" s="43" t="s">
        <v>46</v>
      </c>
      <c r="CY7" s="40"/>
      <c r="CZ7" s="41" t="s">
        <v>42</v>
      </c>
      <c r="DA7" s="41" t="s">
        <v>43</v>
      </c>
      <c r="DB7" s="42" t="s">
        <v>0</v>
      </c>
      <c r="DC7" s="42" t="s">
        <v>44</v>
      </c>
      <c r="DD7" s="41" t="s">
        <v>45</v>
      </c>
      <c r="DE7" s="43" t="s">
        <v>46</v>
      </c>
      <c r="DG7" s="40"/>
      <c r="DH7" s="41" t="s">
        <v>42</v>
      </c>
      <c r="DI7" s="41" t="s">
        <v>43</v>
      </c>
      <c r="DJ7" s="42" t="s">
        <v>0</v>
      </c>
      <c r="DK7" s="42" t="s">
        <v>44</v>
      </c>
      <c r="DL7" s="41" t="s">
        <v>45</v>
      </c>
      <c r="DM7" s="43" t="s">
        <v>46</v>
      </c>
      <c r="DO7" s="40"/>
      <c r="DP7" s="41" t="s">
        <v>42</v>
      </c>
      <c r="DQ7" s="41" t="s">
        <v>43</v>
      </c>
      <c r="DR7" s="42" t="s">
        <v>0</v>
      </c>
      <c r="DS7" s="42" t="s">
        <v>44</v>
      </c>
      <c r="DT7" s="41" t="s">
        <v>45</v>
      </c>
      <c r="DU7" s="43" t="s">
        <v>46</v>
      </c>
      <c r="DW7" s="40"/>
      <c r="DX7" s="41" t="s">
        <v>42</v>
      </c>
      <c r="DY7" s="41" t="s">
        <v>43</v>
      </c>
      <c r="DZ7" s="42" t="s">
        <v>0</v>
      </c>
      <c r="EA7" s="42" t="s">
        <v>44</v>
      </c>
      <c r="EB7" s="41" t="s">
        <v>45</v>
      </c>
      <c r="EC7" s="43" t="s">
        <v>46</v>
      </c>
      <c r="EE7" s="40"/>
      <c r="EF7" s="41" t="s">
        <v>42</v>
      </c>
      <c r="EG7" s="41" t="s">
        <v>43</v>
      </c>
      <c r="EH7" s="42" t="s">
        <v>0</v>
      </c>
      <c r="EI7" s="42" t="s">
        <v>44</v>
      </c>
      <c r="EJ7" s="41" t="s">
        <v>45</v>
      </c>
      <c r="EK7" s="43" t="s">
        <v>46</v>
      </c>
      <c r="EM7" s="40"/>
      <c r="EN7" s="41" t="s">
        <v>42</v>
      </c>
      <c r="EO7" s="41" t="s">
        <v>43</v>
      </c>
      <c r="EP7" s="42" t="s">
        <v>0</v>
      </c>
      <c r="EQ7" s="42" t="s">
        <v>44</v>
      </c>
      <c r="ER7" s="41" t="s">
        <v>45</v>
      </c>
      <c r="ES7" s="43" t="s">
        <v>46</v>
      </c>
      <c r="EU7" s="40"/>
      <c r="EV7" s="41" t="s">
        <v>42</v>
      </c>
      <c r="EW7" s="41" t="s">
        <v>43</v>
      </c>
      <c r="EX7" s="42" t="s">
        <v>0</v>
      </c>
      <c r="EY7" s="42" t="s">
        <v>44</v>
      </c>
      <c r="EZ7" s="41" t="s">
        <v>45</v>
      </c>
      <c r="FA7" s="43" t="s">
        <v>46</v>
      </c>
      <c r="FC7" s="40"/>
      <c r="FD7" s="41" t="s">
        <v>42</v>
      </c>
      <c r="FE7" s="41" t="s">
        <v>43</v>
      </c>
      <c r="FF7" s="42" t="s">
        <v>0</v>
      </c>
      <c r="FG7" s="42" t="s">
        <v>44</v>
      </c>
      <c r="FH7" s="41" t="s">
        <v>45</v>
      </c>
      <c r="FI7" s="43" t="s">
        <v>46</v>
      </c>
      <c r="FK7" s="40"/>
      <c r="FL7" s="41" t="s">
        <v>42</v>
      </c>
      <c r="FM7" s="41" t="s">
        <v>43</v>
      </c>
      <c r="FN7" s="42" t="s">
        <v>0</v>
      </c>
      <c r="FO7" s="42" t="s">
        <v>44</v>
      </c>
      <c r="FP7" s="41" t="s">
        <v>45</v>
      </c>
      <c r="FQ7" s="43" t="s">
        <v>46</v>
      </c>
      <c r="FS7" s="40"/>
      <c r="FT7" s="41" t="s">
        <v>42</v>
      </c>
      <c r="FU7" s="41" t="s">
        <v>43</v>
      </c>
      <c r="FV7" s="42" t="s">
        <v>0</v>
      </c>
      <c r="FW7" s="42" t="s">
        <v>44</v>
      </c>
      <c r="FX7" s="41" t="s">
        <v>45</v>
      </c>
      <c r="FY7" s="43" t="s">
        <v>46</v>
      </c>
      <c r="GA7" s="40"/>
      <c r="GB7" s="41" t="s">
        <v>42</v>
      </c>
      <c r="GC7" s="41" t="s">
        <v>43</v>
      </c>
      <c r="GD7" s="42" t="s">
        <v>0</v>
      </c>
      <c r="GE7" s="42" t="s">
        <v>44</v>
      </c>
      <c r="GF7" s="41" t="s">
        <v>45</v>
      </c>
      <c r="GG7" s="43" t="s">
        <v>46</v>
      </c>
      <c r="GI7" s="40"/>
      <c r="GJ7" s="41" t="s">
        <v>42</v>
      </c>
      <c r="GK7" s="41" t="s">
        <v>43</v>
      </c>
      <c r="GL7" s="42" t="s">
        <v>0</v>
      </c>
      <c r="GM7" s="42" t="s">
        <v>44</v>
      </c>
      <c r="GN7" s="41" t="s">
        <v>45</v>
      </c>
      <c r="GO7" s="43" t="s">
        <v>46</v>
      </c>
    </row>
    <row r="8" spans="1:197" ht="14.25">
      <c r="A8" s="120"/>
      <c r="B8" s="120"/>
      <c r="C8" s="148" t="s">
        <v>47</v>
      </c>
      <c r="D8" s="117"/>
      <c r="E8" s="120"/>
      <c r="F8" s="121">
        <v>3</v>
      </c>
      <c r="G8" s="120" t="s">
        <v>48</v>
      </c>
      <c r="H8" s="120"/>
      <c r="I8" s="120"/>
      <c r="K8" s="46" t="s">
        <v>49</v>
      </c>
      <c r="L8" s="34">
        <f>$E$12</f>
        <v>0</v>
      </c>
      <c r="M8" s="47">
        <f>L8/43560</f>
        <v>0</v>
      </c>
      <c r="N8" s="48" t="e">
        <f>$O$4</f>
        <v>#N/A</v>
      </c>
      <c r="O8" s="49" t="e">
        <f>(1000/N8)-10</f>
        <v>#N/A</v>
      </c>
      <c r="P8" s="49" t="e">
        <f>($T$22-0.2*O8)^2/($T$22+0.8*O8)</f>
        <v>#N/A</v>
      </c>
      <c r="Q8" s="50" t="e">
        <f>IF($T$22&gt;0,P8*M8,0)</f>
        <v>#N/A</v>
      </c>
      <c r="R8" s="23"/>
      <c r="S8" s="23"/>
      <c r="T8" s="23"/>
      <c r="U8" s="23"/>
      <c r="W8" s="51" t="s">
        <v>50</v>
      </c>
      <c r="X8" s="24">
        <f>$E$12</f>
        <v>0</v>
      </c>
      <c r="Y8" s="52">
        <f>X8/43560</f>
        <v>0</v>
      </c>
      <c r="Z8" s="53" t="e">
        <f>$O$4</f>
        <v>#N/A</v>
      </c>
      <c r="AA8" s="31" t="e">
        <f>(1000/Z8)-10</f>
        <v>#N/A</v>
      </c>
      <c r="AB8" s="31" t="e">
        <f>(Y6-0.2*AA8)^2/(Y6+0.8*AA8)</f>
        <v>#N/A</v>
      </c>
      <c r="AC8" s="54" t="e">
        <f>IF(Y6&gt;0,AB8*Y8,0)</f>
        <v>#N/A</v>
      </c>
      <c r="AD8" s="25"/>
      <c r="AE8" s="51" t="s">
        <v>50</v>
      </c>
      <c r="AF8" s="24">
        <f>$E$12</f>
        <v>0</v>
      </c>
      <c r="AG8" s="52">
        <f>AF8/43560</f>
        <v>0</v>
      </c>
      <c r="AH8" s="53" t="e">
        <f>$O$4</f>
        <v>#N/A</v>
      </c>
      <c r="AI8" s="31" t="e">
        <f>(1000/AH8)-10</f>
        <v>#N/A</v>
      </c>
      <c r="AJ8" s="31" t="e">
        <f>(AG6-0.2*AI8)^2/(AG6+0.8*AI8)</f>
        <v>#N/A</v>
      </c>
      <c r="AK8" s="54" t="e">
        <f>IF(AG6&gt;0,AJ8*AG8,0)</f>
        <v>#N/A</v>
      </c>
      <c r="AM8" s="51" t="s">
        <v>50</v>
      </c>
      <c r="AN8" s="24">
        <f>$E$12</f>
        <v>0</v>
      </c>
      <c r="AO8" s="52">
        <f>AN8/43560</f>
        <v>0</v>
      </c>
      <c r="AP8" s="53" t="e">
        <f>$O$4</f>
        <v>#N/A</v>
      </c>
      <c r="AQ8" s="31" t="e">
        <f>(1000/AP8)-10</f>
        <v>#N/A</v>
      </c>
      <c r="AR8" s="31" t="e">
        <f>(AO6-0.2*AQ8)^2/(AO6+0.8*AQ8)</f>
        <v>#N/A</v>
      </c>
      <c r="AS8" s="54" t="e">
        <f>IF(AO6&gt;0,AR8*AO8,0)</f>
        <v>#N/A</v>
      </c>
      <c r="AU8" s="51" t="s">
        <v>50</v>
      </c>
      <c r="AV8" s="24">
        <f>$E$12</f>
        <v>0</v>
      </c>
      <c r="AW8" s="52">
        <f>AV8/43560</f>
        <v>0</v>
      </c>
      <c r="AX8" s="53" t="e">
        <f>$O$4</f>
        <v>#N/A</v>
      </c>
      <c r="AY8" s="31" t="e">
        <f>(1000/AX8)-10</f>
        <v>#N/A</v>
      </c>
      <c r="AZ8" s="31" t="e">
        <f>(AW6-0.2*AY8)^2/(AW6+0.8*AY8)</f>
        <v>#N/A</v>
      </c>
      <c r="BA8" s="54" t="e">
        <f>IF(AW6&gt;0,AZ8*AW8,0)</f>
        <v>#N/A</v>
      </c>
      <c r="BC8" s="51" t="s">
        <v>50</v>
      </c>
      <c r="BD8" s="24">
        <f>$E$12</f>
        <v>0</v>
      </c>
      <c r="BE8" s="52">
        <f>BD8/43560</f>
        <v>0</v>
      </c>
      <c r="BF8" s="53" t="e">
        <f>$O$4</f>
        <v>#N/A</v>
      </c>
      <c r="BG8" s="31" t="e">
        <f>(1000/BF8)-10</f>
        <v>#N/A</v>
      </c>
      <c r="BH8" s="31" t="e">
        <f>(BE6-0.2*BG8)^2/(BE6+0.8*BG8)</f>
        <v>#N/A</v>
      </c>
      <c r="BI8" s="54" t="e">
        <f>IF(BE6&gt;0,BH8*BE8,0)</f>
        <v>#N/A</v>
      </c>
      <c r="BK8" s="51" t="s">
        <v>50</v>
      </c>
      <c r="BL8" s="24">
        <f>$E$12</f>
        <v>0</v>
      </c>
      <c r="BM8" s="52">
        <f>BL8/43560</f>
        <v>0</v>
      </c>
      <c r="BN8" s="53" t="e">
        <f>$O$4</f>
        <v>#N/A</v>
      </c>
      <c r="BO8" s="31" t="e">
        <f>(1000/BN8)-10</f>
        <v>#N/A</v>
      </c>
      <c r="BP8" s="31" t="e">
        <f>(BM6-0.2*BO8)^2/(BM6+0.8*BO8)</f>
        <v>#N/A</v>
      </c>
      <c r="BQ8" s="54" t="e">
        <f>IF(BM6&gt;0,BP8*BM8,0)</f>
        <v>#N/A</v>
      </c>
      <c r="BS8" s="51" t="s">
        <v>50</v>
      </c>
      <c r="BT8" s="24">
        <f>$E$12</f>
        <v>0</v>
      </c>
      <c r="BU8" s="52">
        <f>BT8/43560</f>
        <v>0</v>
      </c>
      <c r="BV8" s="53" t="e">
        <f>$O$4</f>
        <v>#N/A</v>
      </c>
      <c r="BW8" s="31" t="e">
        <f>(1000/BV8)-10</f>
        <v>#N/A</v>
      </c>
      <c r="BX8" s="31" t="e">
        <f>(BU6-0.2*BW8)^2/(BU6+0.8*BW8)</f>
        <v>#N/A</v>
      </c>
      <c r="BY8" s="54" t="e">
        <f>IF(BU6&gt;0,BX8*BU8,0)</f>
        <v>#N/A</v>
      </c>
      <c r="CA8" s="51" t="s">
        <v>50</v>
      </c>
      <c r="CB8" s="24">
        <f>$E$12</f>
        <v>0</v>
      </c>
      <c r="CC8" s="52">
        <f>CB8/43560</f>
        <v>0</v>
      </c>
      <c r="CD8" s="53" t="e">
        <f>$O$4</f>
        <v>#N/A</v>
      </c>
      <c r="CE8" s="31" t="e">
        <f>(1000/CD8)-10</f>
        <v>#N/A</v>
      </c>
      <c r="CF8" s="31" t="e">
        <f>(CC6-0.2*CE8)^2/(CC6+0.8*CE8)</f>
        <v>#N/A</v>
      </c>
      <c r="CG8" s="54" t="e">
        <f>IF(CC6&gt;0,CF8*CC8,0)</f>
        <v>#N/A</v>
      </c>
      <c r="CI8" s="51" t="s">
        <v>50</v>
      </c>
      <c r="CJ8" s="24">
        <f>$E$12</f>
        <v>0</v>
      </c>
      <c r="CK8" s="52">
        <f>CJ8/43560</f>
        <v>0</v>
      </c>
      <c r="CL8" s="53" t="e">
        <f>$O$4</f>
        <v>#N/A</v>
      </c>
      <c r="CM8" s="31" t="e">
        <f>(1000/CL8)-10</f>
        <v>#N/A</v>
      </c>
      <c r="CN8" s="31" t="e">
        <f>(CK6-0.2*CM8)^2/(CK6+0.8*CM8)</f>
        <v>#N/A</v>
      </c>
      <c r="CO8" s="54" t="e">
        <f>IF(CK6&gt;0,CN8*CK8,0)</f>
        <v>#N/A</v>
      </c>
      <c r="CQ8" s="51" t="s">
        <v>50</v>
      </c>
      <c r="CR8" s="24">
        <f>$E$12</f>
        <v>0</v>
      </c>
      <c r="CS8" s="52">
        <f>CR8/43560</f>
        <v>0</v>
      </c>
      <c r="CT8" s="53" t="e">
        <f>$O$4</f>
        <v>#N/A</v>
      </c>
      <c r="CU8" s="31" t="e">
        <f>(1000/CT8)-10</f>
        <v>#N/A</v>
      </c>
      <c r="CV8" s="31" t="e">
        <f>(CS6-0.2*CU8)^2/(CS6+0.8*CU8)</f>
        <v>#N/A</v>
      </c>
      <c r="CW8" s="54" t="e">
        <f>IF(CS6&gt;0,CV8*CS8,0)</f>
        <v>#N/A</v>
      </c>
      <c r="CY8" s="51" t="s">
        <v>50</v>
      </c>
      <c r="CZ8" s="24">
        <f>$E$12</f>
        <v>0</v>
      </c>
      <c r="DA8" s="52">
        <f>CZ8/43560</f>
        <v>0</v>
      </c>
      <c r="DB8" s="53" t="e">
        <f>$O$4</f>
        <v>#N/A</v>
      </c>
      <c r="DC8" s="31" t="e">
        <f>(1000/DB8)-10</f>
        <v>#N/A</v>
      </c>
      <c r="DD8" s="31" t="e">
        <f>(DA6-0.2*DC8)^2/(DA6+0.8*DC8)</f>
        <v>#N/A</v>
      </c>
      <c r="DE8" s="54" t="e">
        <f>IF(DA6&gt;0,DD8*DA8,0)</f>
        <v>#N/A</v>
      </c>
      <c r="DG8" s="51" t="s">
        <v>50</v>
      </c>
      <c r="DH8" s="24">
        <f>$E$12</f>
        <v>0</v>
      </c>
      <c r="DI8" s="52">
        <f>DH8/43560</f>
        <v>0</v>
      </c>
      <c r="DJ8" s="53" t="e">
        <f>$O$4</f>
        <v>#N/A</v>
      </c>
      <c r="DK8" s="31" t="e">
        <f>(1000/DJ8)-10</f>
        <v>#N/A</v>
      </c>
      <c r="DL8" s="31" t="e">
        <f>(DI6-0.2*DK8)^2/(DI6+0.8*DK8)</f>
        <v>#N/A</v>
      </c>
      <c r="DM8" s="54" t="e">
        <f>IF(DI6&gt;0,DL8*DI8,0)</f>
        <v>#N/A</v>
      </c>
      <c r="DO8" s="51" t="s">
        <v>50</v>
      </c>
      <c r="DP8" s="24">
        <f>$E$12</f>
        <v>0</v>
      </c>
      <c r="DQ8" s="52">
        <f>DP8/43560</f>
        <v>0</v>
      </c>
      <c r="DR8" s="53" t="e">
        <f>$O$4</f>
        <v>#N/A</v>
      </c>
      <c r="DS8" s="31" t="e">
        <f>(1000/DR8)-10</f>
        <v>#N/A</v>
      </c>
      <c r="DT8" s="31" t="e">
        <f>(DQ6-0.2*DS8)^2/(DQ6+0.8*DS8)</f>
        <v>#N/A</v>
      </c>
      <c r="DU8" s="54" t="e">
        <f>IF(DQ6&gt;0,DT8*DQ8,0)</f>
        <v>#N/A</v>
      </c>
      <c r="DW8" s="51" t="s">
        <v>50</v>
      </c>
      <c r="DX8" s="24">
        <f>$E$12</f>
        <v>0</v>
      </c>
      <c r="DY8" s="52">
        <f>DX8/43560</f>
        <v>0</v>
      </c>
      <c r="DZ8" s="53" t="e">
        <f>$O$4</f>
        <v>#N/A</v>
      </c>
      <c r="EA8" s="31" t="e">
        <f>(1000/DZ8)-10</f>
        <v>#N/A</v>
      </c>
      <c r="EB8" s="31" t="e">
        <f>(DY6-0.2*EA8)^2/(DY6+0.8*EA8)</f>
        <v>#N/A</v>
      </c>
      <c r="EC8" s="54" t="e">
        <f>IF(DY6&gt;0,EB8*DY8,0)</f>
        <v>#N/A</v>
      </c>
      <c r="EE8" s="51" t="s">
        <v>50</v>
      </c>
      <c r="EF8" s="24">
        <f>$E$12</f>
        <v>0</v>
      </c>
      <c r="EG8" s="52">
        <f>EF8/43560</f>
        <v>0</v>
      </c>
      <c r="EH8" s="53" t="e">
        <f>$O$4</f>
        <v>#N/A</v>
      </c>
      <c r="EI8" s="31" t="e">
        <f>(1000/EH8)-10</f>
        <v>#N/A</v>
      </c>
      <c r="EJ8" s="31" t="e">
        <f>(EG6-0.2*EI8)^2/(EG6+0.8*EI8)</f>
        <v>#N/A</v>
      </c>
      <c r="EK8" s="54" t="e">
        <f>IF(EG6&gt;0,EJ8*EG8,0)</f>
        <v>#N/A</v>
      </c>
      <c r="EM8" s="51" t="s">
        <v>50</v>
      </c>
      <c r="EN8" s="24">
        <f>$E$12</f>
        <v>0</v>
      </c>
      <c r="EO8" s="52">
        <f>EN8/43560</f>
        <v>0</v>
      </c>
      <c r="EP8" s="53" t="e">
        <f>$O$4</f>
        <v>#N/A</v>
      </c>
      <c r="EQ8" s="31" t="e">
        <f>(1000/EP8)-10</f>
        <v>#N/A</v>
      </c>
      <c r="ER8" s="31" t="e">
        <f>(EO6-0.2*EQ8)^2/(EO6+0.8*EQ8)</f>
        <v>#N/A</v>
      </c>
      <c r="ES8" s="54" t="e">
        <f>IF(EO6&gt;0,ER8*EO8,0)</f>
        <v>#N/A</v>
      </c>
      <c r="EU8" s="51" t="s">
        <v>50</v>
      </c>
      <c r="EV8" s="24">
        <f>$E$12</f>
        <v>0</v>
      </c>
      <c r="EW8" s="52">
        <f>EV8/43560</f>
        <v>0</v>
      </c>
      <c r="EX8" s="53" t="e">
        <f>$O$4</f>
        <v>#N/A</v>
      </c>
      <c r="EY8" s="31" t="e">
        <f>(1000/EX8)-10</f>
        <v>#N/A</v>
      </c>
      <c r="EZ8" s="31" t="e">
        <f>(EW6-0.2*EY8)^2/(EW6+0.8*EY8)</f>
        <v>#N/A</v>
      </c>
      <c r="FA8" s="54" t="e">
        <f>IF(EW6&gt;0,EZ8*EW8,0)</f>
        <v>#N/A</v>
      </c>
      <c r="FC8" s="51" t="s">
        <v>50</v>
      </c>
      <c r="FD8" s="24">
        <f>$E$12</f>
        <v>0</v>
      </c>
      <c r="FE8" s="52">
        <f>FD8/43560</f>
        <v>0</v>
      </c>
      <c r="FF8" s="53" t="e">
        <f>$O$4</f>
        <v>#N/A</v>
      </c>
      <c r="FG8" s="31" t="e">
        <f>(1000/FF8)-10</f>
        <v>#N/A</v>
      </c>
      <c r="FH8" s="31" t="e">
        <f>(FE6-0.2*FG8)^2/(FE6+0.8*FG8)</f>
        <v>#N/A</v>
      </c>
      <c r="FI8" s="54" t="e">
        <f>IF(FE6&gt;0,FH8*FE8,0)</f>
        <v>#N/A</v>
      </c>
      <c r="FK8" s="51" t="s">
        <v>50</v>
      </c>
      <c r="FL8" s="24">
        <f>$E$12</f>
        <v>0</v>
      </c>
      <c r="FM8" s="52">
        <f>FL8/43560</f>
        <v>0</v>
      </c>
      <c r="FN8" s="53" t="e">
        <f>$O$4</f>
        <v>#N/A</v>
      </c>
      <c r="FO8" s="31" t="e">
        <f>(1000/FN8)-10</f>
        <v>#N/A</v>
      </c>
      <c r="FP8" s="31" t="e">
        <f>(FM6-0.2*FO8)^2/(FM6+0.8*FO8)</f>
        <v>#N/A</v>
      </c>
      <c r="FQ8" s="54" t="e">
        <f>IF(FM6&gt;0,FP8*FM8,0)</f>
        <v>#N/A</v>
      </c>
      <c r="FS8" s="51" t="s">
        <v>50</v>
      </c>
      <c r="FT8" s="24">
        <f>$E$12</f>
        <v>0</v>
      </c>
      <c r="FU8" s="52">
        <f>FT8/43560</f>
        <v>0</v>
      </c>
      <c r="FV8" s="53" t="e">
        <f>$O$4</f>
        <v>#N/A</v>
      </c>
      <c r="FW8" s="31" t="e">
        <f>(1000/FV8)-10</f>
        <v>#N/A</v>
      </c>
      <c r="FX8" s="31" t="e">
        <f>(FU6-0.2*FW8)^2/(FU6+0.8*FW8)</f>
        <v>#N/A</v>
      </c>
      <c r="FY8" s="54" t="e">
        <f>IF(FU6&gt;0,FX8*FU8,0)</f>
        <v>#N/A</v>
      </c>
      <c r="GA8" s="51" t="s">
        <v>50</v>
      </c>
      <c r="GB8" s="24">
        <f>$E$12</f>
        <v>0</v>
      </c>
      <c r="GC8" s="52">
        <f>GB8/43560</f>
        <v>0</v>
      </c>
      <c r="GD8" s="53" t="e">
        <f>$O$4</f>
        <v>#N/A</v>
      </c>
      <c r="GE8" s="31" t="e">
        <f>(1000/GD8)-10</f>
        <v>#N/A</v>
      </c>
      <c r="GF8" s="31" t="e">
        <f>(GC6-0.2*GE8)^2/(GC6+0.8*GE8)</f>
        <v>#N/A</v>
      </c>
      <c r="GG8" s="54" t="e">
        <f>IF(GC6&gt;0,GF8*GC8,0)</f>
        <v>#N/A</v>
      </c>
      <c r="GI8" s="51" t="s">
        <v>50</v>
      </c>
      <c r="GJ8" s="24">
        <f>$E$12</f>
        <v>0</v>
      </c>
      <c r="GK8" s="52">
        <f>GJ8/43560</f>
        <v>0</v>
      </c>
      <c r="GL8" s="53" t="e">
        <f>$O$4</f>
        <v>#N/A</v>
      </c>
      <c r="GM8" s="31" t="e">
        <f>(1000/GL8)-10</f>
        <v>#N/A</v>
      </c>
      <c r="GN8" s="31" t="e">
        <f>(GK6-0.2*GM8)^2/(GK6+0.8*GM8)</f>
        <v>#N/A</v>
      </c>
      <c r="GO8" s="54" t="e">
        <f>IF(GK6&gt;0,GN8*GK8,0)</f>
        <v>#N/A</v>
      </c>
    </row>
    <row r="9" spans="1:197" ht="14.25">
      <c r="A9" s="120"/>
      <c r="B9" s="120"/>
      <c r="C9" s="120"/>
      <c r="D9" s="120"/>
      <c r="E9" s="120"/>
      <c r="F9" s="121">
        <v>4</v>
      </c>
      <c r="G9" s="120" t="s">
        <v>51</v>
      </c>
      <c r="H9" s="120"/>
      <c r="I9" s="120"/>
      <c r="K9" s="55"/>
      <c r="L9" s="34"/>
      <c r="M9" s="34"/>
      <c r="N9" s="34"/>
      <c r="O9" s="34"/>
      <c r="P9" s="34"/>
      <c r="Q9" s="50"/>
      <c r="R9" s="23" t="s">
        <v>52</v>
      </c>
      <c r="S9" s="23"/>
      <c r="T9" s="23"/>
      <c r="U9" s="23"/>
      <c r="W9" s="51"/>
      <c r="X9" s="24"/>
      <c r="Y9" s="24"/>
      <c r="Z9" s="24"/>
      <c r="AA9" s="24"/>
      <c r="AB9" s="24"/>
      <c r="AC9" s="56"/>
      <c r="AD9" s="24"/>
      <c r="AE9" s="51"/>
      <c r="AF9" s="24"/>
      <c r="AG9" s="24"/>
      <c r="AH9" s="24"/>
      <c r="AI9" s="24"/>
      <c r="AJ9" s="24"/>
      <c r="AK9" s="56"/>
      <c r="AM9" s="51"/>
      <c r="AN9" s="24"/>
      <c r="AO9" s="24"/>
      <c r="AP9" s="24"/>
      <c r="AQ9" s="24"/>
      <c r="AR9" s="24"/>
      <c r="AS9" s="56"/>
      <c r="AU9" s="51"/>
      <c r="AV9" s="24"/>
      <c r="AW9" s="24"/>
      <c r="AX9" s="24"/>
      <c r="AY9" s="24"/>
      <c r="AZ9" s="24"/>
      <c r="BA9" s="56"/>
      <c r="BC9" s="51"/>
      <c r="BD9" s="24"/>
      <c r="BE9" s="24"/>
      <c r="BF9" s="24"/>
      <c r="BG9" s="24"/>
      <c r="BH9" s="24"/>
      <c r="BI9" s="56"/>
      <c r="BK9" s="51"/>
      <c r="BL9" s="24"/>
      <c r="BM9" s="24"/>
      <c r="BN9" s="24"/>
      <c r="BO9" s="24"/>
      <c r="BP9" s="24"/>
      <c r="BQ9" s="56"/>
      <c r="BS9" s="51"/>
      <c r="BT9" s="24"/>
      <c r="BU9" s="24"/>
      <c r="BV9" s="24"/>
      <c r="BW9" s="24"/>
      <c r="BX9" s="24"/>
      <c r="BY9" s="56"/>
      <c r="CA9" s="51"/>
      <c r="CB9" s="24"/>
      <c r="CC9" s="24"/>
      <c r="CD9" s="24"/>
      <c r="CE9" s="24"/>
      <c r="CF9" s="24"/>
      <c r="CG9" s="56"/>
      <c r="CI9" s="51"/>
      <c r="CJ9" s="24"/>
      <c r="CK9" s="24"/>
      <c r="CL9" s="24"/>
      <c r="CM9" s="24"/>
      <c r="CN9" s="24"/>
      <c r="CO9" s="56"/>
      <c r="CQ9" s="51"/>
      <c r="CR9" s="24"/>
      <c r="CS9" s="24"/>
      <c r="CT9" s="24"/>
      <c r="CU9" s="24"/>
      <c r="CV9" s="24"/>
      <c r="CW9" s="56"/>
      <c r="CY9" s="51"/>
      <c r="CZ9" s="24"/>
      <c r="DA9" s="24"/>
      <c r="DB9" s="24"/>
      <c r="DC9" s="24"/>
      <c r="DD9" s="24"/>
      <c r="DE9" s="56"/>
      <c r="DG9" s="51"/>
      <c r="DH9" s="24"/>
      <c r="DI9" s="24"/>
      <c r="DJ9" s="24"/>
      <c r="DK9" s="24"/>
      <c r="DL9" s="24"/>
      <c r="DM9" s="56"/>
      <c r="DO9" s="51"/>
      <c r="DP9" s="24"/>
      <c r="DQ9" s="24"/>
      <c r="DR9" s="24"/>
      <c r="DS9" s="24"/>
      <c r="DT9" s="24"/>
      <c r="DU9" s="56"/>
      <c r="DW9" s="51"/>
      <c r="DX9" s="24"/>
      <c r="DY9" s="24"/>
      <c r="DZ9" s="24"/>
      <c r="EA9" s="24"/>
      <c r="EB9" s="24"/>
      <c r="EC9" s="56"/>
      <c r="EE9" s="51"/>
      <c r="EF9" s="24"/>
      <c r="EG9" s="24"/>
      <c r="EH9" s="24"/>
      <c r="EI9" s="24"/>
      <c r="EJ9" s="24"/>
      <c r="EK9" s="56"/>
      <c r="EM9" s="51"/>
      <c r="EN9" s="24"/>
      <c r="EO9" s="24"/>
      <c r="EP9" s="24"/>
      <c r="EQ9" s="24"/>
      <c r="ER9" s="24"/>
      <c r="ES9" s="56"/>
      <c r="EU9" s="51"/>
      <c r="EV9" s="24"/>
      <c r="EW9" s="24"/>
      <c r="EX9" s="24"/>
      <c r="EY9" s="24"/>
      <c r="EZ9" s="24"/>
      <c r="FA9" s="56"/>
      <c r="FC9" s="51"/>
      <c r="FD9" s="24"/>
      <c r="FE9" s="24"/>
      <c r="FF9" s="24"/>
      <c r="FG9" s="24"/>
      <c r="FH9" s="24"/>
      <c r="FI9" s="56"/>
      <c r="FK9" s="51"/>
      <c r="FL9" s="24"/>
      <c r="FM9" s="24"/>
      <c r="FN9" s="24"/>
      <c r="FO9" s="24"/>
      <c r="FP9" s="24"/>
      <c r="FQ9" s="56"/>
      <c r="FS9" s="51"/>
      <c r="FT9" s="24"/>
      <c r="FU9" s="24"/>
      <c r="FV9" s="24"/>
      <c r="FW9" s="24"/>
      <c r="FX9" s="24"/>
      <c r="FY9" s="56"/>
      <c r="GA9" s="51"/>
      <c r="GB9" s="24"/>
      <c r="GC9" s="24"/>
      <c r="GD9" s="24"/>
      <c r="GE9" s="24"/>
      <c r="GF9" s="24"/>
      <c r="GG9" s="56"/>
      <c r="GI9" s="51"/>
      <c r="GJ9" s="24"/>
      <c r="GK9" s="24"/>
      <c r="GL9" s="24"/>
      <c r="GM9" s="24"/>
      <c r="GN9" s="24"/>
      <c r="GO9" s="56"/>
    </row>
    <row r="10" spans="1:197" ht="14.25">
      <c r="A10" s="120"/>
      <c r="B10" s="120"/>
      <c r="C10" s="148" t="s">
        <v>24</v>
      </c>
      <c r="D10" s="143"/>
      <c r="E10" s="120"/>
      <c r="F10" s="120" t="s">
        <v>10</v>
      </c>
      <c r="G10" s="121"/>
      <c r="H10" s="121"/>
      <c r="I10" s="121"/>
      <c r="K10" s="57" t="s">
        <v>53</v>
      </c>
      <c r="L10" s="34"/>
      <c r="M10" s="34"/>
      <c r="N10" s="34"/>
      <c r="O10" s="34"/>
      <c r="P10" s="34"/>
      <c r="Q10" s="50"/>
      <c r="R10" s="23" t="s">
        <v>54</v>
      </c>
      <c r="S10" s="23"/>
      <c r="T10" s="23"/>
      <c r="U10" s="23"/>
      <c r="W10" s="51" t="s">
        <v>53</v>
      </c>
      <c r="X10" s="24"/>
      <c r="Y10" s="24"/>
      <c r="Z10" s="24"/>
      <c r="AA10" s="24"/>
      <c r="AB10" s="24"/>
      <c r="AC10" s="56"/>
      <c r="AD10" s="24"/>
      <c r="AE10" s="51" t="s">
        <v>53</v>
      </c>
      <c r="AF10" s="24"/>
      <c r="AG10" s="24"/>
      <c r="AH10" s="24"/>
      <c r="AI10" s="24"/>
      <c r="AJ10" s="24"/>
      <c r="AK10" s="56"/>
      <c r="AM10" s="51" t="s">
        <v>53</v>
      </c>
      <c r="AN10" s="24"/>
      <c r="AO10" s="24"/>
      <c r="AP10" s="24"/>
      <c r="AQ10" s="24"/>
      <c r="AR10" s="24"/>
      <c r="AS10" s="56"/>
      <c r="AU10" s="51" t="s">
        <v>53</v>
      </c>
      <c r="AV10" s="24"/>
      <c r="AW10" s="24"/>
      <c r="AX10" s="24"/>
      <c r="AY10" s="24"/>
      <c r="AZ10" s="24"/>
      <c r="BA10" s="56"/>
      <c r="BC10" s="51" t="s">
        <v>53</v>
      </c>
      <c r="BD10" s="24"/>
      <c r="BE10" s="24"/>
      <c r="BF10" s="24"/>
      <c r="BG10" s="24"/>
      <c r="BH10" s="24"/>
      <c r="BI10" s="56"/>
      <c r="BK10" s="51" t="s">
        <v>53</v>
      </c>
      <c r="BL10" s="24"/>
      <c r="BM10" s="24"/>
      <c r="BN10" s="24"/>
      <c r="BO10" s="24"/>
      <c r="BP10" s="24"/>
      <c r="BQ10" s="56"/>
      <c r="BS10" s="51" t="s">
        <v>53</v>
      </c>
      <c r="BT10" s="24"/>
      <c r="BU10" s="24"/>
      <c r="BV10" s="24"/>
      <c r="BW10" s="24"/>
      <c r="BX10" s="24"/>
      <c r="BY10" s="56"/>
      <c r="CA10" s="51" t="s">
        <v>53</v>
      </c>
      <c r="CB10" s="24"/>
      <c r="CC10" s="24"/>
      <c r="CD10" s="24"/>
      <c r="CE10" s="24"/>
      <c r="CF10" s="24"/>
      <c r="CG10" s="56"/>
      <c r="CI10" s="51" t="s">
        <v>53</v>
      </c>
      <c r="CJ10" s="24"/>
      <c r="CK10" s="24"/>
      <c r="CL10" s="24"/>
      <c r="CM10" s="24"/>
      <c r="CN10" s="24"/>
      <c r="CO10" s="56"/>
      <c r="CQ10" s="51" t="s">
        <v>53</v>
      </c>
      <c r="CR10" s="24"/>
      <c r="CS10" s="24"/>
      <c r="CT10" s="24"/>
      <c r="CU10" s="24"/>
      <c r="CV10" s="24"/>
      <c r="CW10" s="56"/>
      <c r="CY10" s="51" t="s">
        <v>53</v>
      </c>
      <c r="CZ10" s="24"/>
      <c r="DA10" s="24"/>
      <c r="DB10" s="24"/>
      <c r="DC10" s="24"/>
      <c r="DD10" s="24"/>
      <c r="DE10" s="56"/>
      <c r="DG10" s="51" t="s">
        <v>53</v>
      </c>
      <c r="DH10" s="24"/>
      <c r="DI10" s="24"/>
      <c r="DJ10" s="24"/>
      <c r="DK10" s="24"/>
      <c r="DL10" s="24"/>
      <c r="DM10" s="56"/>
      <c r="DO10" s="51" t="s">
        <v>53</v>
      </c>
      <c r="DP10" s="24"/>
      <c r="DQ10" s="24"/>
      <c r="DR10" s="24"/>
      <c r="DS10" s="24"/>
      <c r="DT10" s="24"/>
      <c r="DU10" s="56"/>
      <c r="DW10" s="51" t="s">
        <v>53</v>
      </c>
      <c r="DX10" s="24"/>
      <c r="DY10" s="24"/>
      <c r="DZ10" s="24"/>
      <c r="EA10" s="24"/>
      <c r="EB10" s="24"/>
      <c r="EC10" s="56"/>
      <c r="EE10" s="51" t="s">
        <v>53</v>
      </c>
      <c r="EF10" s="24"/>
      <c r="EG10" s="24"/>
      <c r="EH10" s="24"/>
      <c r="EI10" s="24"/>
      <c r="EJ10" s="24"/>
      <c r="EK10" s="56"/>
      <c r="EM10" s="51" t="s">
        <v>53</v>
      </c>
      <c r="EN10" s="24"/>
      <c r="EO10" s="24"/>
      <c r="EP10" s="24"/>
      <c r="EQ10" s="24"/>
      <c r="ER10" s="24"/>
      <c r="ES10" s="56"/>
      <c r="EU10" s="51" t="s">
        <v>53</v>
      </c>
      <c r="EV10" s="24"/>
      <c r="EW10" s="24"/>
      <c r="EX10" s="24"/>
      <c r="EY10" s="24"/>
      <c r="EZ10" s="24"/>
      <c r="FA10" s="56"/>
      <c r="FC10" s="51" t="s">
        <v>53</v>
      </c>
      <c r="FD10" s="24"/>
      <c r="FE10" s="24"/>
      <c r="FF10" s="24"/>
      <c r="FG10" s="24"/>
      <c r="FH10" s="24"/>
      <c r="FI10" s="56"/>
      <c r="FK10" s="51" t="s">
        <v>53</v>
      </c>
      <c r="FL10" s="24"/>
      <c r="FM10" s="24"/>
      <c r="FN10" s="24"/>
      <c r="FO10" s="24"/>
      <c r="FP10" s="24"/>
      <c r="FQ10" s="56"/>
      <c r="FS10" s="51" t="s">
        <v>53</v>
      </c>
      <c r="FT10" s="24"/>
      <c r="FU10" s="24"/>
      <c r="FV10" s="24"/>
      <c r="FW10" s="24"/>
      <c r="FX10" s="24"/>
      <c r="FY10" s="56"/>
      <c r="GA10" s="51" t="s">
        <v>53</v>
      </c>
      <c r="GB10" s="24"/>
      <c r="GC10" s="24"/>
      <c r="GD10" s="24"/>
      <c r="GE10" s="24"/>
      <c r="GF10" s="24"/>
      <c r="GG10" s="56"/>
      <c r="GI10" s="51" t="s">
        <v>53</v>
      </c>
      <c r="GJ10" s="24"/>
      <c r="GK10" s="24"/>
      <c r="GL10" s="24"/>
      <c r="GM10" s="24"/>
      <c r="GN10" s="24"/>
      <c r="GO10" s="56"/>
    </row>
    <row r="11" spans="1:197" ht="14.25">
      <c r="A11" s="120"/>
      <c r="B11" s="120"/>
      <c r="C11" s="148" t="s">
        <v>23</v>
      </c>
      <c r="D11" s="143"/>
      <c r="E11" s="120"/>
      <c r="F11" s="120" t="s">
        <v>10</v>
      </c>
      <c r="G11" s="121"/>
      <c r="H11" s="149"/>
      <c r="I11" s="150"/>
      <c r="K11" s="55">
        <v>1</v>
      </c>
      <c r="L11" s="34">
        <f>$D$24</f>
        <v>0</v>
      </c>
      <c r="M11" s="47">
        <f>L11/43560</f>
        <v>0</v>
      </c>
      <c r="N11" s="34">
        <f>IF($D$25&lt;60,60,$D$25)</f>
        <v>60</v>
      </c>
      <c r="O11" s="49">
        <f>(1000/N11)-10</f>
        <v>6.666666666666668</v>
      </c>
      <c r="P11" s="49">
        <f>IF($T$22-(0.2*O11)&gt;0,($T$22-0.2*O11)^2/($T$22+0.8*O11),0)</f>
        <v>0.6661800486618</v>
      </c>
      <c r="Q11" s="50">
        <f>IF($T$22&gt;0,P11*M11,0)</f>
        <v>0</v>
      </c>
      <c r="R11" s="23" t="s">
        <v>55</v>
      </c>
      <c r="S11" s="23"/>
      <c r="T11" s="23"/>
      <c r="U11" s="23"/>
      <c r="W11" s="51">
        <v>1</v>
      </c>
      <c r="X11" s="24">
        <f>$D$24</f>
        <v>0</v>
      </c>
      <c r="Y11" s="52">
        <f>X11/43560</f>
        <v>0</v>
      </c>
      <c r="Z11" s="24">
        <f>IF($D$25&lt;60,60,$D$25)</f>
        <v>60</v>
      </c>
      <c r="AA11" s="31">
        <f>(1000/Z11)-10</f>
        <v>6.666666666666668</v>
      </c>
      <c r="AB11" s="58">
        <f>IF(Y6-(0.2*AA11)&gt;0,(Y6-0.2*AA11)^2/(Y6+0.8*AA11),0)</f>
        <v>0</v>
      </c>
      <c r="AC11" s="54">
        <f>IF(Y6&gt;0,AB11*Y11,0)</f>
        <v>0</v>
      </c>
      <c r="AD11" s="24"/>
      <c r="AE11" s="51">
        <v>1</v>
      </c>
      <c r="AF11" s="24">
        <f>$D$24</f>
        <v>0</v>
      </c>
      <c r="AG11" s="52">
        <f>AF11/43560</f>
        <v>0</v>
      </c>
      <c r="AH11" s="24">
        <f>IF($D$25&lt;60,60,$D$25)</f>
        <v>60</v>
      </c>
      <c r="AI11" s="31">
        <f>(1000/AH11)-10</f>
        <v>6.666666666666668</v>
      </c>
      <c r="AJ11" s="58">
        <f>IF(AG6-(0.2*AI11)&gt;0,(AG6-0.2*AI11)^2/(AG6+0.8*AI11),0)</f>
        <v>0</v>
      </c>
      <c r="AK11" s="54">
        <f>IF(AG6&gt;0,AJ11*AG11,0)</f>
        <v>0</v>
      </c>
      <c r="AM11" s="51">
        <v>1</v>
      </c>
      <c r="AN11" s="24">
        <f>$D$24</f>
        <v>0</v>
      </c>
      <c r="AO11" s="52">
        <f>AN11/43560</f>
        <v>0</v>
      </c>
      <c r="AP11" s="24">
        <f>IF($D$25&lt;60,60,$D$25)</f>
        <v>60</v>
      </c>
      <c r="AQ11" s="31">
        <f>(1000/AP11)-10</f>
        <v>6.666666666666668</v>
      </c>
      <c r="AR11" s="58">
        <f>IF(AO6-(0.2*AQ11)&gt;0,(AO6-0.2*AQ11)^2/(AO6+0.8*AQ11),0)</f>
        <v>0</v>
      </c>
      <c r="AS11" s="54">
        <f>IF(AO6&gt;0,AR11*AO11,0)</f>
        <v>0</v>
      </c>
      <c r="AU11" s="51">
        <v>1</v>
      </c>
      <c r="AV11" s="24">
        <f>$D$24</f>
        <v>0</v>
      </c>
      <c r="AW11" s="52">
        <f>AV11/43560</f>
        <v>0</v>
      </c>
      <c r="AX11" s="24">
        <f>IF($D$25&lt;60,60,$D$25)</f>
        <v>60</v>
      </c>
      <c r="AY11" s="31">
        <f>(1000/AX11)-10</f>
        <v>6.666666666666668</v>
      </c>
      <c r="AZ11" s="58">
        <f>IF(AW6-(0.2*AY11)&gt;0,(AW6-0.2*AY11)^2/(AW6+0.8*AY11),0)</f>
        <v>0</v>
      </c>
      <c r="BA11" s="54">
        <f>IF(AW6&gt;0,AZ11*AW11,0)</f>
        <v>0</v>
      </c>
      <c r="BC11" s="51">
        <v>1</v>
      </c>
      <c r="BD11" s="24">
        <f>$D$24</f>
        <v>0</v>
      </c>
      <c r="BE11" s="52">
        <f>BD11/43560</f>
        <v>0</v>
      </c>
      <c r="BF11" s="24">
        <f>IF($D$25&lt;60,60,$D$25)</f>
        <v>60</v>
      </c>
      <c r="BG11" s="31">
        <f>(1000/BF11)-10</f>
        <v>6.666666666666668</v>
      </c>
      <c r="BH11" s="58">
        <f>IF(BE6-(0.2*BG11)&gt;0,(BE6-0.2*BG11)^2/(BE6+0.8*BG11),0)</f>
        <v>0</v>
      </c>
      <c r="BI11" s="54">
        <f>IF(BE6&gt;0,BH11*BE11,0)</f>
        <v>0</v>
      </c>
      <c r="BK11" s="51">
        <v>1</v>
      </c>
      <c r="BL11" s="24">
        <f>$D$24</f>
        <v>0</v>
      </c>
      <c r="BM11" s="52">
        <f>BL11/43560</f>
        <v>0</v>
      </c>
      <c r="BN11" s="24">
        <f>IF($D$25&lt;60,60,$D$25)</f>
        <v>60</v>
      </c>
      <c r="BO11" s="31">
        <f>(1000/BN11)-10</f>
        <v>6.666666666666668</v>
      </c>
      <c r="BP11" s="58">
        <f>IF(BM6-(0.2*BO11)&gt;0,(BM6-0.2*BO11)^2/(BM6+0.8*BO11),0)</f>
        <v>0</v>
      </c>
      <c r="BQ11" s="54">
        <f>IF(BM6&gt;0,BP11*BM11,0)</f>
        <v>0</v>
      </c>
      <c r="BS11" s="51">
        <v>1</v>
      </c>
      <c r="BT11" s="24">
        <f>$D$24</f>
        <v>0</v>
      </c>
      <c r="BU11" s="52">
        <f>BT11/43560</f>
        <v>0</v>
      </c>
      <c r="BV11" s="24">
        <f>IF($D$25&lt;60,60,$D$25)</f>
        <v>60</v>
      </c>
      <c r="BW11" s="31">
        <f>(1000/BV11)-10</f>
        <v>6.666666666666668</v>
      </c>
      <c r="BX11" s="58">
        <f>IF(BU6-(0.2*BW11)&gt;0,(BU6-0.2*BW11)^2/(BU6+0.8*BW11),0)</f>
        <v>0</v>
      </c>
      <c r="BY11" s="54">
        <f>IF(BU6&gt;0,BX11*BU11,0)</f>
        <v>0</v>
      </c>
      <c r="CA11" s="51">
        <v>1</v>
      </c>
      <c r="CB11" s="24">
        <f>$D$24</f>
        <v>0</v>
      </c>
      <c r="CC11" s="52">
        <f>CB11/43560</f>
        <v>0</v>
      </c>
      <c r="CD11" s="24">
        <f>IF($D$25&lt;60,60,$D$25)</f>
        <v>60</v>
      </c>
      <c r="CE11" s="31">
        <f>(1000/CD11)-10</f>
        <v>6.666666666666668</v>
      </c>
      <c r="CF11" s="58">
        <f>IF(CC6-(0.2*CE11)&gt;0,(CC6-0.2*CE11)^2/(CC6+0.8*CE11),0)</f>
        <v>0</v>
      </c>
      <c r="CG11" s="54">
        <f>IF(CC6&gt;0,CF11*CC11,0)</f>
        <v>0</v>
      </c>
      <c r="CI11" s="51">
        <v>1</v>
      </c>
      <c r="CJ11" s="24">
        <f>$D$24</f>
        <v>0</v>
      </c>
      <c r="CK11" s="52">
        <f>CJ11/43560</f>
        <v>0</v>
      </c>
      <c r="CL11" s="24">
        <f>IF($D$25&lt;60,60,$D$25)</f>
        <v>60</v>
      </c>
      <c r="CM11" s="31">
        <f>(1000/CL11)-10</f>
        <v>6.666666666666668</v>
      </c>
      <c r="CN11" s="58">
        <f>IF(CK6-(0.2*CM11)&gt;0,(CK6-0.2*CM11)^2/(CK6+0.8*CM11),0)</f>
        <v>0</v>
      </c>
      <c r="CO11" s="54">
        <f>IF(CK6&gt;0,CN11*CK11,0)</f>
        <v>0</v>
      </c>
      <c r="CQ11" s="51">
        <v>1</v>
      </c>
      <c r="CR11" s="24">
        <f>$D$24</f>
        <v>0</v>
      </c>
      <c r="CS11" s="52">
        <f>CR11/43560</f>
        <v>0</v>
      </c>
      <c r="CT11" s="24">
        <f>IF($D$25&lt;60,60,$D$25)</f>
        <v>60</v>
      </c>
      <c r="CU11" s="31">
        <f>(1000/CT11)-10</f>
        <v>6.666666666666668</v>
      </c>
      <c r="CV11" s="58">
        <f>IF(CS6-(0.2*CU11)&gt;0,(CS6-0.2*CU11)^2/(CS6+0.8*CU11),0)</f>
        <v>0</v>
      </c>
      <c r="CW11" s="54">
        <f>IF(CS6&gt;0,CV11*CS11,0)</f>
        <v>0</v>
      </c>
      <c r="CY11" s="51">
        <v>1</v>
      </c>
      <c r="CZ11" s="24">
        <f>$D$24</f>
        <v>0</v>
      </c>
      <c r="DA11" s="52">
        <f>CZ11/43560</f>
        <v>0</v>
      </c>
      <c r="DB11" s="24">
        <f>IF($D$25&lt;60,60,$D$25)</f>
        <v>60</v>
      </c>
      <c r="DC11" s="31">
        <f>(1000/DB11)-10</f>
        <v>6.666666666666668</v>
      </c>
      <c r="DD11" s="58">
        <f>IF(DA6-(0.2*DC11)&gt;0,(DA6-0.2*DC11)^2/(DA6+0.8*DC11),0)</f>
        <v>0</v>
      </c>
      <c r="DE11" s="54">
        <f>IF(DA6&gt;0,DD11*DA11,0)</f>
        <v>0</v>
      </c>
      <c r="DG11" s="51">
        <v>1</v>
      </c>
      <c r="DH11" s="24">
        <f>$D$24</f>
        <v>0</v>
      </c>
      <c r="DI11" s="52">
        <f>DH11/43560</f>
        <v>0</v>
      </c>
      <c r="DJ11" s="24">
        <f>IF($D$25&lt;60,60,$D$25)</f>
        <v>60</v>
      </c>
      <c r="DK11" s="31">
        <f>(1000/DJ11)-10</f>
        <v>6.666666666666668</v>
      </c>
      <c r="DL11" s="58">
        <f>IF(DI6-(0.2*DK11)&gt;0,(DI6-0.2*DK11)^2/(DI6+0.8*DK11),0)</f>
        <v>0</v>
      </c>
      <c r="DM11" s="54">
        <f>IF(DI6&gt;0,DL11*DI11,0)</f>
        <v>0</v>
      </c>
      <c r="DO11" s="51">
        <v>1</v>
      </c>
      <c r="DP11" s="24">
        <f>$D$24</f>
        <v>0</v>
      </c>
      <c r="DQ11" s="52">
        <f>DP11/43560</f>
        <v>0</v>
      </c>
      <c r="DR11" s="24">
        <f>IF($D$25&lt;60,60,$D$25)</f>
        <v>60</v>
      </c>
      <c r="DS11" s="31">
        <f>(1000/DR11)-10</f>
        <v>6.666666666666668</v>
      </c>
      <c r="DT11" s="58">
        <f>IF(DQ6-(0.2*DS11)&gt;0,(DQ6-0.2*DS11)^2/(DQ6+0.8*DS11),0)</f>
        <v>0</v>
      </c>
      <c r="DU11" s="54">
        <f>IF(DQ6&gt;0,DT11*DQ11,0)</f>
        <v>0</v>
      </c>
      <c r="DW11" s="51">
        <v>1</v>
      </c>
      <c r="DX11" s="24">
        <f>$D$24</f>
        <v>0</v>
      </c>
      <c r="DY11" s="52">
        <f>DX11/43560</f>
        <v>0</v>
      </c>
      <c r="DZ11" s="24">
        <f>IF($D$25&lt;60,60,$D$25)</f>
        <v>60</v>
      </c>
      <c r="EA11" s="31">
        <f>(1000/DZ11)-10</f>
        <v>6.666666666666668</v>
      </c>
      <c r="EB11" s="58">
        <f>IF(DY6-(0.2*EA11)&gt;0,(DY6-0.2*EA11)^2/(DY6+0.8*EA11),0)</f>
        <v>0</v>
      </c>
      <c r="EC11" s="54">
        <f>IF(DY6&gt;0,EB11*DY11,0)</f>
        <v>0</v>
      </c>
      <c r="EE11" s="51">
        <v>1</v>
      </c>
      <c r="EF11" s="24">
        <f>$D$24</f>
        <v>0</v>
      </c>
      <c r="EG11" s="52">
        <f>EF11/43560</f>
        <v>0</v>
      </c>
      <c r="EH11" s="24">
        <f>IF($D$25&lt;60,60,$D$25)</f>
        <v>60</v>
      </c>
      <c r="EI11" s="31">
        <f>(1000/EH11)-10</f>
        <v>6.666666666666668</v>
      </c>
      <c r="EJ11" s="58">
        <f>IF(EG6-(0.2*EI11)&gt;0,(EG6-0.2*EI11)^2/(EG6+0.8*EI11),0)</f>
        <v>0</v>
      </c>
      <c r="EK11" s="54">
        <f>IF(EG6&gt;0,EJ11*EG11,0)</f>
        <v>0</v>
      </c>
      <c r="EM11" s="51">
        <v>1</v>
      </c>
      <c r="EN11" s="24">
        <f>$D$24</f>
        <v>0</v>
      </c>
      <c r="EO11" s="52">
        <f>EN11/43560</f>
        <v>0</v>
      </c>
      <c r="EP11" s="24">
        <f>IF($D$25&lt;60,60,$D$25)</f>
        <v>60</v>
      </c>
      <c r="EQ11" s="31">
        <f>(1000/EP11)-10</f>
        <v>6.666666666666668</v>
      </c>
      <c r="ER11" s="58">
        <f>IF(EO6-(0.2*EQ11)&gt;0,(EO6-0.2*EQ11)^2/(EO6+0.8*EQ11),0)</f>
        <v>0</v>
      </c>
      <c r="ES11" s="54">
        <f>IF(EO6&gt;0,ER11*EO11,0)</f>
        <v>0</v>
      </c>
      <c r="EU11" s="51">
        <v>1</v>
      </c>
      <c r="EV11" s="24">
        <f>$D$24</f>
        <v>0</v>
      </c>
      <c r="EW11" s="52">
        <f>EV11/43560</f>
        <v>0</v>
      </c>
      <c r="EX11" s="24">
        <f>IF($D$25&lt;60,60,$D$25)</f>
        <v>60</v>
      </c>
      <c r="EY11" s="31">
        <f>(1000/EX11)-10</f>
        <v>6.666666666666668</v>
      </c>
      <c r="EZ11" s="58">
        <f>IF(EW6-(0.2*EY11)&gt;0,(EW6-0.2*EY11)^2/(EW6+0.8*EY11),0)</f>
        <v>0</v>
      </c>
      <c r="FA11" s="54">
        <f>IF(EW6&gt;0,EZ11*EW11,0)</f>
        <v>0</v>
      </c>
      <c r="FC11" s="51">
        <v>1</v>
      </c>
      <c r="FD11" s="24">
        <f>$D$24</f>
        <v>0</v>
      </c>
      <c r="FE11" s="52">
        <f>FD11/43560</f>
        <v>0</v>
      </c>
      <c r="FF11" s="24">
        <f>IF($D$25&lt;60,60,$D$25)</f>
        <v>60</v>
      </c>
      <c r="FG11" s="31">
        <f>(1000/FF11)-10</f>
        <v>6.666666666666668</v>
      </c>
      <c r="FH11" s="58">
        <f>IF(FE6-(0.2*FG11)&gt;0,(FE6-0.2*FG11)^2/(FE6+0.8*FG11),0)</f>
        <v>0</v>
      </c>
      <c r="FI11" s="54">
        <f>IF(FE6&gt;0,FH11*FE11,0)</f>
        <v>0</v>
      </c>
      <c r="FK11" s="51">
        <v>1</v>
      </c>
      <c r="FL11" s="24">
        <f>$D$24</f>
        <v>0</v>
      </c>
      <c r="FM11" s="52">
        <f>FL11/43560</f>
        <v>0</v>
      </c>
      <c r="FN11" s="24">
        <f>IF($D$25&lt;60,60,$D$25)</f>
        <v>60</v>
      </c>
      <c r="FO11" s="31">
        <f>(1000/FN11)-10</f>
        <v>6.666666666666668</v>
      </c>
      <c r="FP11" s="58">
        <f>IF(FM6-(0.2*FO11)&gt;0,(FM6-0.2*FO11)^2/(FM6+0.8*FO11),0)</f>
        <v>0</v>
      </c>
      <c r="FQ11" s="54">
        <f>IF(FM6&gt;0,FP11*FM11,0)</f>
        <v>0</v>
      </c>
      <c r="FS11" s="51">
        <v>1</v>
      </c>
      <c r="FT11" s="24">
        <f>$D$24</f>
        <v>0</v>
      </c>
      <c r="FU11" s="52">
        <f>FT11/43560</f>
        <v>0</v>
      </c>
      <c r="FV11" s="24">
        <f>IF($D$25&lt;60,60,$D$25)</f>
        <v>60</v>
      </c>
      <c r="FW11" s="31">
        <f>(1000/FV11)-10</f>
        <v>6.666666666666668</v>
      </c>
      <c r="FX11" s="58">
        <f>IF(FU6-(0.2*FW11)&gt;0,(FU6-0.2*FW11)^2/(FU6+0.8*FW11),0)</f>
        <v>0</v>
      </c>
      <c r="FY11" s="54">
        <f>IF(FU6&gt;0,FX11*FU11,0)</f>
        <v>0</v>
      </c>
      <c r="GA11" s="51">
        <v>1</v>
      </c>
      <c r="GB11" s="24">
        <f>$D$24</f>
        <v>0</v>
      </c>
      <c r="GC11" s="52">
        <f>GB11/43560</f>
        <v>0</v>
      </c>
      <c r="GD11" s="24">
        <f>IF($D$25&lt;60,60,$D$25)</f>
        <v>60</v>
      </c>
      <c r="GE11" s="31">
        <f>(1000/GD11)-10</f>
        <v>6.666666666666668</v>
      </c>
      <c r="GF11" s="58">
        <f>IF(GC6-(0.2*GE11)&gt;0,(GC6-0.2*GE11)^2/(GC6+0.8*GE11),0)</f>
        <v>0</v>
      </c>
      <c r="GG11" s="54">
        <f>IF(GC6&gt;0,GF11*GC11,0)</f>
        <v>0</v>
      </c>
      <c r="GI11" s="51">
        <v>1</v>
      </c>
      <c r="GJ11" s="24">
        <f>$D$24</f>
        <v>0</v>
      </c>
      <c r="GK11" s="52">
        <f>GJ11/43560</f>
        <v>0</v>
      </c>
      <c r="GL11" s="24">
        <f>IF($D$25&lt;60,60,$D$25)</f>
        <v>60</v>
      </c>
      <c r="GM11" s="31">
        <f>(1000/GL11)-10</f>
        <v>6.666666666666668</v>
      </c>
      <c r="GN11" s="58">
        <f>IF(GK6-(0.2*GM11)&gt;0,(GK6-0.2*GM11)^2/(GK6+0.8*GM11),0)</f>
        <v>0</v>
      </c>
      <c r="GO11" s="54">
        <f>IF(GK6&gt;0,GN11*GK11,0)</f>
        <v>0</v>
      </c>
    </row>
    <row r="12" spans="1:197" ht="14.25">
      <c r="A12" s="120"/>
      <c r="B12" s="120"/>
      <c r="C12" s="148" t="s">
        <v>57</v>
      </c>
      <c r="D12" s="120"/>
      <c r="E12" s="151">
        <f>D10+D11</f>
        <v>0</v>
      </c>
      <c r="F12" s="120" t="s">
        <v>10</v>
      </c>
      <c r="G12" s="120"/>
      <c r="H12" s="121"/>
      <c r="I12" s="121"/>
      <c r="K12" s="55">
        <v>2</v>
      </c>
      <c r="L12" s="34">
        <f>$F$24</f>
        <v>0</v>
      </c>
      <c r="M12" s="47">
        <f>L12/43560</f>
        <v>0</v>
      </c>
      <c r="N12" s="34">
        <f>IF($F$25&lt;60,60,$F$25)</f>
        <v>60</v>
      </c>
      <c r="O12" s="49">
        <f>(1000/N12)-10</f>
        <v>6.666666666666668</v>
      </c>
      <c r="P12" s="49">
        <f>IF($T$22-(0.2*O12)&gt;0,($T$22-0.2*O12)^2/($T$22+0.8*O12),0)</f>
        <v>0.6661800486618</v>
      </c>
      <c r="Q12" s="50">
        <f>IF($T$22&gt;0,P12*M12,0)</f>
        <v>0</v>
      </c>
      <c r="R12" s="23" t="s">
        <v>56</v>
      </c>
      <c r="S12" s="23"/>
      <c r="T12" s="23"/>
      <c r="U12" s="23"/>
      <c r="W12" s="51">
        <v>2</v>
      </c>
      <c r="X12" s="24">
        <f>$F$24</f>
        <v>0</v>
      </c>
      <c r="Y12" s="52">
        <f>X12/43560</f>
        <v>0</v>
      </c>
      <c r="Z12" s="24">
        <f>IF($F$25&lt;60,60,$F$25)</f>
        <v>60</v>
      </c>
      <c r="AA12" s="31">
        <f>(1000/Z12)-10</f>
        <v>6.666666666666668</v>
      </c>
      <c r="AB12" s="58">
        <f>IF(Y6-(0.2*AA12)&gt;0,(Y6-0.2*AA12)^2/(Y6+0.8*AA12),0)</f>
        <v>0</v>
      </c>
      <c r="AC12" s="54">
        <f>IF(Y6&gt;0,AB12*Y12,0)</f>
        <v>0</v>
      </c>
      <c r="AD12" s="24"/>
      <c r="AE12" s="51">
        <v>2</v>
      </c>
      <c r="AF12" s="24">
        <f>$F$24</f>
        <v>0</v>
      </c>
      <c r="AG12" s="52">
        <f>AF12/43560</f>
        <v>0</v>
      </c>
      <c r="AH12" s="24">
        <f>IF($F$25&lt;60,60,$F$25)</f>
        <v>60</v>
      </c>
      <c r="AI12" s="31">
        <f>(1000/AH12)-10</f>
        <v>6.666666666666668</v>
      </c>
      <c r="AJ12" s="58">
        <f>IF(AG6-(0.2*AI12)&gt;0,(AG6-0.2*AI12)^2/(AG6+0.8*AI12),0)</f>
        <v>0</v>
      </c>
      <c r="AK12" s="54">
        <f>IF(AG6&gt;0,AJ12*AG12,0)</f>
        <v>0</v>
      </c>
      <c r="AM12" s="51">
        <v>2</v>
      </c>
      <c r="AN12" s="24">
        <f>$F$24</f>
        <v>0</v>
      </c>
      <c r="AO12" s="52">
        <f>AN12/43560</f>
        <v>0</v>
      </c>
      <c r="AP12" s="24">
        <f>IF($F$25&lt;60,60,$F$25)</f>
        <v>60</v>
      </c>
      <c r="AQ12" s="31">
        <f>(1000/AP12)-10</f>
        <v>6.666666666666668</v>
      </c>
      <c r="AR12" s="58">
        <f>IF(AO6-(0.2*AQ12)&gt;0,(AO6-0.2*AQ12)^2/(AO6+0.8*AQ12),0)</f>
        <v>0</v>
      </c>
      <c r="AS12" s="54">
        <f>IF(AO6&gt;0,AR12*AO12,0)</f>
        <v>0</v>
      </c>
      <c r="AU12" s="51">
        <v>2</v>
      </c>
      <c r="AV12" s="24">
        <f>$F$24</f>
        <v>0</v>
      </c>
      <c r="AW12" s="52">
        <f>AV12/43560</f>
        <v>0</v>
      </c>
      <c r="AX12" s="24">
        <f>IF($F$25&lt;60,60,$F$25)</f>
        <v>60</v>
      </c>
      <c r="AY12" s="31">
        <f>(1000/AX12)-10</f>
        <v>6.666666666666668</v>
      </c>
      <c r="AZ12" s="58">
        <f>IF(AW6-(0.2*AY12)&gt;0,(AW6-0.2*AY12)^2/(AW6+0.8*AY12),0)</f>
        <v>0</v>
      </c>
      <c r="BA12" s="54">
        <f>IF(AW6&gt;0,AZ12*AW12,0)</f>
        <v>0</v>
      </c>
      <c r="BC12" s="51">
        <v>2</v>
      </c>
      <c r="BD12" s="24">
        <f>$F$24</f>
        <v>0</v>
      </c>
      <c r="BE12" s="52">
        <f>BD12/43560</f>
        <v>0</v>
      </c>
      <c r="BF12" s="24">
        <f>IF($F$25&lt;60,60,$F$25)</f>
        <v>60</v>
      </c>
      <c r="BG12" s="31">
        <f>(1000/BF12)-10</f>
        <v>6.666666666666668</v>
      </c>
      <c r="BH12" s="58">
        <f>IF(BE6-(0.2*BG12)&gt;0,(BE6-0.2*BG12)^2/(BE6+0.8*BG12),0)</f>
        <v>0</v>
      </c>
      <c r="BI12" s="54">
        <f>IF(BE6&gt;0,BH12*BE12,0)</f>
        <v>0</v>
      </c>
      <c r="BK12" s="51">
        <v>2</v>
      </c>
      <c r="BL12" s="24">
        <f>$F$24</f>
        <v>0</v>
      </c>
      <c r="BM12" s="52">
        <f>BL12/43560</f>
        <v>0</v>
      </c>
      <c r="BN12" s="24">
        <f>IF($F$25&lt;60,60,$F$25)</f>
        <v>60</v>
      </c>
      <c r="BO12" s="31">
        <f>(1000/BN12)-10</f>
        <v>6.666666666666668</v>
      </c>
      <c r="BP12" s="58">
        <f>IF(BM6-(0.2*BO12)&gt;0,(BM6-0.2*BO12)^2/(BM6+0.8*BO12),0)</f>
        <v>0</v>
      </c>
      <c r="BQ12" s="54">
        <f>IF(BM6&gt;0,BP12*BM12,0)</f>
        <v>0</v>
      </c>
      <c r="BS12" s="51">
        <v>2</v>
      </c>
      <c r="BT12" s="24">
        <f>$F$24</f>
        <v>0</v>
      </c>
      <c r="BU12" s="52">
        <f>BT12/43560</f>
        <v>0</v>
      </c>
      <c r="BV12" s="24">
        <f>IF($F$25&lt;60,60,$F$25)</f>
        <v>60</v>
      </c>
      <c r="BW12" s="31">
        <f>(1000/BV12)-10</f>
        <v>6.666666666666668</v>
      </c>
      <c r="BX12" s="58">
        <f>IF(BU6-(0.2*BW12)&gt;0,(BU6-0.2*BW12)^2/(BU6+0.8*BW12),0)</f>
        <v>0</v>
      </c>
      <c r="BY12" s="54">
        <f>IF(BU6&gt;0,BX12*BU12,0)</f>
        <v>0</v>
      </c>
      <c r="CA12" s="51">
        <v>2</v>
      </c>
      <c r="CB12" s="24">
        <f>$F$24</f>
        <v>0</v>
      </c>
      <c r="CC12" s="52">
        <f>CB12/43560</f>
        <v>0</v>
      </c>
      <c r="CD12" s="24">
        <f>IF($F$25&lt;60,60,$F$25)</f>
        <v>60</v>
      </c>
      <c r="CE12" s="31">
        <f>(1000/CD12)-10</f>
        <v>6.666666666666668</v>
      </c>
      <c r="CF12" s="58">
        <f>IF(CC6-(0.2*CE12)&gt;0,(CC6-0.2*CE12)^2/(CC6+0.8*CE12),0)</f>
        <v>0</v>
      </c>
      <c r="CG12" s="54">
        <f>IF(CC6&gt;0,CF12*CC12,0)</f>
        <v>0</v>
      </c>
      <c r="CI12" s="51">
        <v>2</v>
      </c>
      <c r="CJ12" s="24">
        <f>$F$24</f>
        <v>0</v>
      </c>
      <c r="CK12" s="52">
        <f>CJ12/43560</f>
        <v>0</v>
      </c>
      <c r="CL12" s="24">
        <f>IF($F$25&lt;60,60,$F$25)</f>
        <v>60</v>
      </c>
      <c r="CM12" s="31">
        <f>(1000/CL12)-10</f>
        <v>6.666666666666668</v>
      </c>
      <c r="CN12" s="58">
        <f>IF(CK6-(0.2*CM12)&gt;0,(CK6-0.2*CM12)^2/(CK6+0.8*CM12),0)</f>
        <v>0</v>
      </c>
      <c r="CO12" s="54">
        <f>IF(CK6&gt;0,CN12*CK12,0)</f>
        <v>0</v>
      </c>
      <c r="CQ12" s="51">
        <v>2</v>
      </c>
      <c r="CR12" s="24">
        <f>$F$24</f>
        <v>0</v>
      </c>
      <c r="CS12" s="52">
        <f>CR12/43560</f>
        <v>0</v>
      </c>
      <c r="CT12" s="24">
        <f>IF($F$25&lt;60,60,$F$25)</f>
        <v>60</v>
      </c>
      <c r="CU12" s="31">
        <f>(1000/CT12)-10</f>
        <v>6.666666666666668</v>
      </c>
      <c r="CV12" s="58">
        <f>IF(CS6-(0.2*CU12)&gt;0,(CS6-0.2*CU12)^2/(CS6+0.8*CU12),0)</f>
        <v>0</v>
      </c>
      <c r="CW12" s="54">
        <f>IF(CS6&gt;0,CV12*CS12,0)</f>
        <v>0</v>
      </c>
      <c r="CY12" s="51">
        <v>2</v>
      </c>
      <c r="CZ12" s="24">
        <f>$F$24</f>
        <v>0</v>
      </c>
      <c r="DA12" s="52">
        <f>CZ12/43560</f>
        <v>0</v>
      </c>
      <c r="DB12" s="24">
        <f>IF($F$25&lt;60,60,$F$25)</f>
        <v>60</v>
      </c>
      <c r="DC12" s="31">
        <f>(1000/DB12)-10</f>
        <v>6.666666666666668</v>
      </c>
      <c r="DD12" s="58">
        <f>IF(DA6-(0.2*DC12)&gt;0,(DA6-0.2*DC12)^2/(DA6+0.8*DC12),0)</f>
        <v>0</v>
      </c>
      <c r="DE12" s="54">
        <f>IF(DA6&gt;0,DD12*DA12,0)</f>
        <v>0</v>
      </c>
      <c r="DG12" s="51">
        <v>2</v>
      </c>
      <c r="DH12" s="24">
        <f>$F$24</f>
        <v>0</v>
      </c>
      <c r="DI12" s="52">
        <f>DH12/43560</f>
        <v>0</v>
      </c>
      <c r="DJ12" s="24">
        <f>IF($F$25&lt;60,60,$F$25)</f>
        <v>60</v>
      </c>
      <c r="DK12" s="31">
        <f>(1000/DJ12)-10</f>
        <v>6.666666666666668</v>
      </c>
      <c r="DL12" s="58">
        <f>IF(DI6-(0.2*DK12)&gt;0,(DI6-0.2*DK12)^2/(DI6+0.8*DK12),0)</f>
        <v>0</v>
      </c>
      <c r="DM12" s="54">
        <f>IF(DI6&gt;0,DL12*DI12,0)</f>
        <v>0</v>
      </c>
      <c r="DO12" s="51">
        <v>2</v>
      </c>
      <c r="DP12" s="24">
        <f>$F$24</f>
        <v>0</v>
      </c>
      <c r="DQ12" s="52">
        <f>DP12/43560</f>
        <v>0</v>
      </c>
      <c r="DR12" s="24">
        <f>IF($F$25&lt;60,60,$F$25)</f>
        <v>60</v>
      </c>
      <c r="DS12" s="31">
        <f>(1000/DR12)-10</f>
        <v>6.666666666666668</v>
      </c>
      <c r="DT12" s="58">
        <f>IF(DQ6-(0.2*DS12)&gt;0,(DQ6-0.2*DS12)^2/(DQ6+0.8*DS12),0)</f>
        <v>0</v>
      </c>
      <c r="DU12" s="54">
        <f>IF(DQ6&gt;0,DT12*DQ12,0)</f>
        <v>0</v>
      </c>
      <c r="DW12" s="51">
        <v>2</v>
      </c>
      <c r="DX12" s="24">
        <f>$F$24</f>
        <v>0</v>
      </c>
      <c r="DY12" s="52">
        <f>DX12/43560</f>
        <v>0</v>
      </c>
      <c r="DZ12" s="24">
        <f>IF($F$25&lt;60,60,$F$25)</f>
        <v>60</v>
      </c>
      <c r="EA12" s="31">
        <f>(1000/DZ12)-10</f>
        <v>6.666666666666668</v>
      </c>
      <c r="EB12" s="58">
        <f>IF(DY6-(0.2*EA12)&gt;0,(DY6-0.2*EA12)^2/(DY6+0.8*EA12),0)</f>
        <v>0</v>
      </c>
      <c r="EC12" s="54">
        <f>IF(DY6&gt;0,EB12*DY12,0)</f>
        <v>0</v>
      </c>
      <c r="EE12" s="51">
        <v>2</v>
      </c>
      <c r="EF12" s="24">
        <f>$F$24</f>
        <v>0</v>
      </c>
      <c r="EG12" s="52">
        <f>EF12/43560</f>
        <v>0</v>
      </c>
      <c r="EH12" s="24">
        <f>IF($F$25&lt;60,60,$F$25)</f>
        <v>60</v>
      </c>
      <c r="EI12" s="31">
        <f>(1000/EH12)-10</f>
        <v>6.666666666666668</v>
      </c>
      <c r="EJ12" s="58">
        <f>IF(EG6-(0.2*EI12)&gt;0,(EG6-0.2*EI12)^2/(EG6+0.8*EI12),0)</f>
        <v>0</v>
      </c>
      <c r="EK12" s="54">
        <f>IF(EG6&gt;0,EJ12*EG12,0)</f>
        <v>0</v>
      </c>
      <c r="EM12" s="51">
        <v>2</v>
      </c>
      <c r="EN12" s="24">
        <f>$F$24</f>
        <v>0</v>
      </c>
      <c r="EO12" s="52">
        <f>EN12/43560</f>
        <v>0</v>
      </c>
      <c r="EP12" s="24">
        <f>IF($F$25&lt;60,60,$F$25)</f>
        <v>60</v>
      </c>
      <c r="EQ12" s="31">
        <f>(1000/EP12)-10</f>
        <v>6.666666666666668</v>
      </c>
      <c r="ER12" s="58">
        <f>IF(EO6-(0.2*EQ12)&gt;0,(EO6-0.2*EQ12)^2/(EO6+0.8*EQ12),0)</f>
        <v>0</v>
      </c>
      <c r="ES12" s="54">
        <f>IF(EO6&gt;0,ER12*EO12,0)</f>
        <v>0</v>
      </c>
      <c r="EU12" s="51">
        <v>2</v>
      </c>
      <c r="EV12" s="24">
        <f>$F$24</f>
        <v>0</v>
      </c>
      <c r="EW12" s="52">
        <f>EV12/43560</f>
        <v>0</v>
      </c>
      <c r="EX12" s="24">
        <f>IF($F$25&lt;60,60,$F$25)</f>
        <v>60</v>
      </c>
      <c r="EY12" s="31">
        <f>(1000/EX12)-10</f>
        <v>6.666666666666668</v>
      </c>
      <c r="EZ12" s="58">
        <f>IF(EW6-(0.2*EY12)&gt;0,(EW6-0.2*EY12)^2/(EW6+0.8*EY12),0)</f>
        <v>0</v>
      </c>
      <c r="FA12" s="54">
        <f>IF(EW6&gt;0,EZ12*EW12,0)</f>
        <v>0</v>
      </c>
      <c r="FC12" s="51">
        <v>2</v>
      </c>
      <c r="FD12" s="24">
        <f>$F$24</f>
        <v>0</v>
      </c>
      <c r="FE12" s="52">
        <f>FD12/43560</f>
        <v>0</v>
      </c>
      <c r="FF12" s="24">
        <f>IF($F$25&lt;60,60,$F$25)</f>
        <v>60</v>
      </c>
      <c r="FG12" s="31">
        <f>(1000/FF12)-10</f>
        <v>6.666666666666668</v>
      </c>
      <c r="FH12" s="58">
        <f>IF(FE6-(0.2*FG12)&gt;0,(FE6-0.2*FG12)^2/(FE6+0.8*FG12),0)</f>
        <v>0</v>
      </c>
      <c r="FI12" s="54">
        <f>IF(FE6&gt;0,FH12*FE12,0)</f>
        <v>0</v>
      </c>
      <c r="FK12" s="51">
        <v>2</v>
      </c>
      <c r="FL12" s="24">
        <f>$F$24</f>
        <v>0</v>
      </c>
      <c r="FM12" s="52">
        <f>FL12/43560</f>
        <v>0</v>
      </c>
      <c r="FN12" s="24">
        <f>IF($F$25&lt;60,60,$F$25)</f>
        <v>60</v>
      </c>
      <c r="FO12" s="31">
        <f>(1000/FN12)-10</f>
        <v>6.666666666666668</v>
      </c>
      <c r="FP12" s="58">
        <f>IF(FM6-(0.2*FO12)&gt;0,(FM6-0.2*FO12)^2/(FM6+0.8*FO12),0)</f>
        <v>0</v>
      </c>
      <c r="FQ12" s="54">
        <f>IF(FM6&gt;0,FP12*FM12,0)</f>
        <v>0</v>
      </c>
      <c r="FS12" s="51">
        <v>2</v>
      </c>
      <c r="FT12" s="24">
        <f>$F$24</f>
        <v>0</v>
      </c>
      <c r="FU12" s="52">
        <f>FT12/43560</f>
        <v>0</v>
      </c>
      <c r="FV12" s="24">
        <f>IF($F$25&lt;60,60,$F$25)</f>
        <v>60</v>
      </c>
      <c r="FW12" s="31">
        <f>(1000/FV12)-10</f>
        <v>6.666666666666668</v>
      </c>
      <c r="FX12" s="58">
        <f>IF(FU6-(0.2*FW12)&gt;0,(FU6-0.2*FW12)^2/(FU6+0.8*FW12),0)</f>
        <v>0</v>
      </c>
      <c r="FY12" s="54">
        <f>IF(FU6&gt;0,FX12*FU12,0)</f>
        <v>0</v>
      </c>
      <c r="GA12" s="51">
        <v>2</v>
      </c>
      <c r="GB12" s="24">
        <f>$F$24</f>
        <v>0</v>
      </c>
      <c r="GC12" s="52">
        <f>GB12/43560</f>
        <v>0</v>
      </c>
      <c r="GD12" s="24">
        <f>IF($F$25&lt;60,60,$F$25)</f>
        <v>60</v>
      </c>
      <c r="GE12" s="31">
        <f>(1000/GD12)-10</f>
        <v>6.666666666666668</v>
      </c>
      <c r="GF12" s="58">
        <f>IF(GC6-(0.2*GE12)&gt;0,(GC6-0.2*GE12)^2/(GC6+0.8*GE12),0)</f>
        <v>0</v>
      </c>
      <c r="GG12" s="54">
        <f>IF(GC6&gt;0,GF12*GC12,0)</f>
        <v>0</v>
      </c>
      <c r="GI12" s="51">
        <v>2</v>
      </c>
      <c r="GJ12" s="24">
        <f>$F$24</f>
        <v>0</v>
      </c>
      <c r="GK12" s="52">
        <f>GJ12/43560</f>
        <v>0</v>
      </c>
      <c r="GL12" s="24">
        <f>IF($F$25&lt;60,60,$F$25)</f>
        <v>60</v>
      </c>
      <c r="GM12" s="31">
        <f>(1000/GL12)-10</f>
        <v>6.666666666666668</v>
      </c>
      <c r="GN12" s="58">
        <f>IF(GK6-(0.2*GM12)&gt;0,(GK6-0.2*GM12)^2/(GK6+0.8*GM12),0)</f>
        <v>0</v>
      </c>
      <c r="GO12" s="54">
        <f>IF(GK6&gt;0,GN12*GK12,0)</f>
        <v>0</v>
      </c>
    </row>
    <row r="13" spans="1:197" ht="14.25">
      <c r="A13" s="120"/>
      <c r="B13" s="120"/>
      <c r="C13" s="152" t="s">
        <v>268</v>
      </c>
      <c r="D13" s="117"/>
      <c r="E13" s="120"/>
      <c r="F13" s="120" t="s">
        <v>60</v>
      </c>
      <c r="G13" s="120"/>
      <c r="H13" s="153"/>
      <c r="I13" s="154"/>
      <c r="K13" s="59" t="s">
        <v>58</v>
      </c>
      <c r="L13" s="38">
        <f>$D$27</f>
        <v>0</v>
      </c>
      <c r="M13" s="60">
        <f>L13/43560</f>
        <v>0</v>
      </c>
      <c r="N13" s="38">
        <v>98</v>
      </c>
      <c r="O13" s="61">
        <f>(1000/N13)-10</f>
        <v>0.204081632653061</v>
      </c>
      <c r="P13" s="61">
        <f>($T$22-0.2*O13)^2/($T$22+0.8*O13)</f>
        <v>3.5656108787490277</v>
      </c>
      <c r="Q13" s="62">
        <f>IF($T$22&gt;0,P13*M13,0)</f>
        <v>0</v>
      </c>
      <c r="R13" s="23"/>
      <c r="S13" s="23"/>
      <c r="T13" s="23"/>
      <c r="U13" s="23"/>
      <c r="W13" s="63" t="s">
        <v>58</v>
      </c>
      <c r="X13" s="64">
        <f>$D$27</f>
        <v>0</v>
      </c>
      <c r="Y13" s="65">
        <f>X13/43560</f>
        <v>0</v>
      </c>
      <c r="Z13" s="64">
        <v>98</v>
      </c>
      <c r="AA13" s="66">
        <f>(1000/Z13)-10</f>
        <v>0.204081632653061</v>
      </c>
      <c r="AB13" s="66">
        <f>(Y6-0.2*AA13)^2/(Y6+0.8*AA13)</f>
        <v>0.11350205656032913</v>
      </c>
      <c r="AC13" s="67">
        <f>IF(Y6&gt;0,AB13*Y13,0)</f>
        <v>0</v>
      </c>
      <c r="AD13" s="24"/>
      <c r="AE13" s="63" t="s">
        <v>58</v>
      </c>
      <c r="AF13" s="64">
        <f>$D$27</f>
        <v>0</v>
      </c>
      <c r="AG13" s="65">
        <f>AF13/43560</f>
        <v>0</v>
      </c>
      <c r="AH13" s="64">
        <v>98</v>
      </c>
      <c r="AI13" s="66">
        <f>(1000/AH13)-10</f>
        <v>0.204081632653061</v>
      </c>
      <c r="AJ13" s="66">
        <f>(AG6-0.2*AI13)^2/(AG6+0.8*AI13)</f>
        <v>0.027121270219987826</v>
      </c>
      <c r="AK13" s="67">
        <f>IF(AG6&gt;0,AJ13*AG13,0)</f>
        <v>0</v>
      </c>
      <c r="AM13" s="63" t="s">
        <v>58</v>
      </c>
      <c r="AN13" s="64">
        <f>$D$27</f>
        <v>0</v>
      </c>
      <c r="AO13" s="65">
        <f>AN13/43560</f>
        <v>0</v>
      </c>
      <c r="AP13" s="64">
        <v>98</v>
      </c>
      <c r="AQ13" s="66">
        <f>(1000/AP13)-10</f>
        <v>0.204081632653061</v>
      </c>
      <c r="AR13" s="66">
        <f>(AO6-0.2*AQ13)^2/(AO6+0.8*AQ13)</f>
        <v>0.013304856826451538</v>
      </c>
      <c r="AS13" s="67">
        <f>IF(AO6&gt;0,AR13*AO13,0)</f>
        <v>0</v>
      </c>
      <c r="AU13" s="63" t="s">
        <v>58</v>
      </c>
      <c r="AV13" s="64">
        <f>$D$27</f>
        <v>0</v>
      </c>
      <c r="AW13" s="65">
        <f>AV13/43560</f>
        <v>0</v>
      </c>
      <c r="AX13" s="64">
        <v>98</v>
      </c>
      <c r="AY13" s="66">
        <f>(1000/AX13)-10</f>
        <v>0.204081632653061</v>
      </c>
      <c r="AZ13" s="66">
        <f>(AW6-0.2*AY13)^2/(AW6+0.8*AY13)</f>
        <v>0.013304856826451538</v>
      </c>
      <c r="BA13" s="67">
        <f>IF(AW6&gt;0,AZ13*AW13,0)</f>
        <v>0</v>
      </c>
      <c r="BC13" s="63" t="s">
        <v>58</v>
      </c>
      <c r="BD13" s="64">
        <f>$D$27</f>
        <v>0</v>
      </c>
      <c r="BE13" s="65">
        <f>BD13/43560</f>
        <v>0</v>
      </c>
      <c r="BF13" s="64">
        <v>98</v>
      </c>
      <c r="BG13" s="66">
        <f>(1000/BF13)-10</f>
        <v>0.204081632653061</v>
      </c>
      <c r="BH13" s="66">
        <f>(BE6-0.2*BG13)^2/(BE6+0.8*BG13)</f>
        <v>0.013304856826451538</v>
      </c>
      <c r="BI13" s="67">
        <f>IF(BE6&gt;0,BH13*BE13,0)</f>
        <v>0</v>
      </c>
      <c r="BK13" s="63" t="s">
        <v>58</v>
      </c>
      <c r="BL13" s="64">
        <f>$D$27</f>
        <v>0</v>
      </c>
      <c r="BM13" s="65">
        <f>BL13/43560</f>
        <v>0</v>
      </c>
      <c r="BN13" s="64">
        <v>98</v>
      </c>
      <c r="BO13" s="66">
        <f>(1000/BN13)-10</f>
        <v>0.204081632653061</v>
      </c>
      <c r="BP13" s="66">
        <f>(BM6-0.2*BO13)^2/(BM6+0.8*BO13)</f>
        <v>0.06975464343040594</v>
      </c>
      <c r="BQ13" s="67">
        <f>IF(BM6&gt;0,BP13*BM13,0)</f>
        <v>0</v>
      </c>
      <c r="BS13" s="63" t="s">
        <v>58</v>
      </c>
      <c r="BT13" s="64">
        <f>$D$27</f>
        <v>0</v>
      </c>
      <c r="BU13" s="65">
        <f>BT13/43560</f>
        <v>0</v>
      </c>
      <c r="BV13" s="64">
        <v>98</v>
      </c>
      <c r="BW13" s="66">
        <f>(1000/BV13)-10</f>
        <v>0.204081632653061</v>
      </c>
      <c r="BX13" s="66">
        <f>(BU6-0.2*BW13)^2/(BU6+0.8*BW13)</f>
        <v>0.04394145537002685</v>
      </c>
      <c r="BY13" s="67">
        <f>IF(BU6&gt;0,BX13*BU13,0)</f>
        <v>0</v>
      </c>
      <c r="CA13" s="63" t="s">
        <v>58</v>
      </c>
      <c r="CB13" s="64">
        <f>$D$27</f>
        <v>0</v>
      </c>
      <c r="CC13" s="65">
        <f>CB13/43560</f>
        <v>0</v>
      </c>
      <c r="CD13" s="64">
        <v>98</v>
      </c>
      <c r="CE13" s="66">
        <f>(1000/CD13)-10</f>
        <v>0.204081632653061</v>
      </c>
      <c r="CF13" s="66">
        <f>(CC6-0.2*CE13)^2/(CC6+0.8*CE13)</f>
        <v>0.363494496511051</v>
      </c>
      <c r="CG13" s="67">
        <f>IF(CC6&gt;0,CF13*CC13,0)</f>
        <v>0</v>
      </c>
      <c r="CI13" s="63" t="s">
        <v>58</v>
      </c>
      <c r="CJ13" s="64">
        <f>$D$27</f>
        <v>0</v>
      </c>
      <c r="CK13" s="65">
        <f>CJ13/43560</f>
        <v>0</v>
      </c>
      <c r="CL13" s="64">
        <v>98</v>
      </c>
      <c r="CM13" s="66">
        <f>(1000/CL13)-10</f>
        <v>0.204081632653061</v>
      </c>
      <c r="CN13" s="66">
        <f>(CK6-0.2*CM13)^2/(CK6+0.8*CM13)</f>
        <v>0.44695204911232805</v>
      </c>
      <c r="CO13" s="67">
        <f>IF(CK6&gt;0,CN13*CK13,0)</f>
        <v>0</v>
      </c>
      <c r="CQ13" s="63" t="s">
        <v>58</v>
      </c>
      <c r="CR13" s="64">
        <f>$D$27</f>
        <v>0</v>
      </c>
      <c r="CS13" s="65">
        <f>CR13/43560</f>
        <v>0</v>
      </c>
      <c r="CT13" s="64">
        <v>98</v>
      </c>
      <c r="CU13" s="66">
        <f>(1000/CT13)-10</f>
        <v>0.204081632653061</v>
      </c>
      <c r="CV13" s="66">
        <f>(CS6-0.2*CU13)^2/(CS6+0.8*CU13)</f>
        <v>0.8103006666619739</v>
      </c>
      <c r="CW13" s="67">
        <f>IF(CS6&gt;0,CV13*CS13,0)</f>
        <v>0</v>
      </c>
      <c r="CY13" s="63" t="s">
        <v>58</v>
      </c>
      <c r="CZ13" s="64">
        <f>$D$27</f>
        <v>0</v>
      </c>
      <c r="DA13" s="65">
        <f>CZ13/43560</f>
        <v>0</v>
      </c>
      <c r="DB13" s="64">
        <v>98</v>
      </c>
      <c r="DC13" s="66">
        <f>(1000/DB13)-10</f>
        <v>0.204081632653061</v>
      </c>
      <c r="DD13" s="66">
        <f>(DA6-0.2*DC13)^2/(DA6+0.8*DC13)</f>
        <v>0.4282759940870566</v>
      </c>
      <c r="DE13" s="67">
        <f>IF(DA6&gt;0,DD13*DA13,0)</f>
        <v>0</v>
      </c>
      <c r="DG13" s="63" t="s">
        <v>58</v>
      </c>
      <c r="DH13" s="64">
        <f>$D$27</f>
        <v>0</v>
      </c>
      <c r="DI13" s="65">
        <f>DH13/43560</f>
        <v>0</v>
      </c>
      <c r="DJ13" s="64">
        <v>98</v>
      </c>
      <c r="DK13" s="66">
        <f>(1000/DJ13)-10</f>
        <v>0.204081632653061</v>
      </c>
      <c r="DL13" s="66">
        <f>(DI6-0.2*DK13)^2/(DI6+0.8*DK13)</f>
        <v>0.027121270219987826</v>
      </c>
      <c r="DM13" s="67">
        <f>IF(DI6&gt;0,DL13*DI13,0)</f>
        <v>0</v>
      </c>
      <c r="DO13" s="63" t="s">
        <v>58</v>
      </c>
      <c r="DP13" s="64">
        <f>$D$27</f>
        <v>0</v>
      </c>
      <c r="DQ13" s="65">
        <f>DP13/43560</f>
        <v>0</v>
      </c>
      <c r="DR13" s="64">
        <v>98</v>
      </c>
      <c r="DS13" s="66">
        <f>(1000/DR13)-10</f>
        <v>0.204081632653061</v>
      </c>
      <c r="DT13" s="66">
        <f>(DQ6-0.2*DS13)^2/(DQ6+0.8*DS13)</f>
        <v>0.05007548395965863</v>
      </c>
      <c r="DU13" s="67">
        <f>IF(DQ6&gt;0,DT13*DQ13,0)</f>
        <v>0</v>
      </c>
      <c r="DW13" s="63" t="s">
        <v>58</v>
      </c>
      <c r="DX13" s="64">
        <f>$D$27</f>
        <v>0</v>
      </c>
      <c r="DY13" s="65">
        <f>DX13/43560</f>
        <v>0</v>
      </c>
      <c r="DZ13" s="64">
        <v>98</v>
      </c>
      <c r="EA13" s="66">
        <f>(1000/DZ13)-10</f>
        <v>0.204081632653061</v>
      </c>
      <c r="EB13" s="66">
        <f>(DY6-0.2*EA13)^2/(DY6+0.8*EA13)</f>
        <v>0.013304856826451538</v>
      </c>
      <c r="EC13" s="67">
        <f>IF(DY6&gt;0,EB13*DY13,0)</f>
        <v>0</v>
      </c>
      <c r="EE13" s="63" t="s">
        <v>58</v>
      </c>
      <c r="EF13" s="64">
        <f>$D$27</f>
        <v>0</v>
      </c>
      <c r="EG13" s="65">
        <f>EF13/43560</f>
        <v>0</v>
      </c>
      <c r="EH13" s="64">
        <v>98</v>
      </c>
      <c r="EI13" s="66">
        <f>(1000/EH13)-10</f>
        <v>0.204081632653061</v>
      </c>
      <c r="EJ13" s="66">
        <f>(EG6-0.2*EI13)^2/(EG6+0.8*EI13)</f>
        <v>0.013304856826451538</v>
      </c>
      <c r="EK13" s="67">
        <f>IF(EG6&gt;0,EJ13*EG13,0)</f>
        <v>0</v>
      </c>
      <c r="EM13" s="63" t="s">
        <v>58</v>
      </c>
      <c r="EN13" s="64">
        <f>$D$27</f>
        <v>0</v>
      </c>
      <c r="EO13" s="65">
        <f>EN13/43560</f>
        <v>0</v>
      </c>
      <c r="EP13" s="64">
        <v>98</v>
      </c>
      <c r="EQ13" s="66">
        <f>(1000/EP13)-10</f>
        <v>0.204081632653061</v>
      </c>
      <c r="ER13" s="66">
        <f>(EO6-0.2*EQ13)^2/(EO6+0.8*EQ13)</f>
        <v>0.022134917367523408</v>
      </c>
      <c r="ES13" s="67">
        <f>IF(EO6&gt;0,ER13*EO13,0)</f>
        <v>0</v>
      </c>
      <c r="EU13" s="63" t="s">
        <v>58</v>
      </c>
      <c r="EV13" s="64">
        <f>$D$27</f>
        <v>0</v>
      </c>
      <c r="EW13" s="65">
        <f>EV13/43560</f>
        <v>0</v>
      </c>
      <c r="EX13" s="64">
        <v>98</v>
      </c>
      <c r="EY13" s="66">
        <f>(1000/EX13)-10</f>
        <v>0.204081632653061</v>
      </c>
      <c r="EZ13" s="66">
        <f>(EW6-0.2*EY13)^2/(EW6+0.8*EY13)</f>
        <v>0.09838221928447499</v>
      </c>
      <c r="FA13" s="67">
        <f>IF(EW6&gt;0,EZ13*EW13,0)</f>
        <v>0</v>
      </c>
      <c r="FC13" s="63" t="s">
        <v>58</v>
      </c>
      <c r="FD13" s="64">
        <f>$D$27</f>
        <v>0</v>
      </c>
      <c r="FE13" s="65">
        <f>FD13/43560</f>
        <v>0</v>
      </c>
      <c r="FF13" s="64">
        <v>98</v>
      </c>
      <c r="FG13" s="66">
        <f>(1000/FF13)-10</f>
        <v>0.204081632653061</v>
      </c>
      <c r="FH13" s="66">
        <f>(FE6-0.2*FG13)^2/(FE6+0.8*FG13)</f>
        <v>0.013304856826451538</v>
      </c>
      <c r="FI13" s="67">
        <f>IF(FE6&gt;0,FH13*FE13,0)</f>
        <v>0</v>
      </c>
      <c r="FK13" s="63" t="s">
        <v>58</v>
      </c>
      <c r="FL13" s="64">
        <f>$D$27</f>
        <v>0</v>
      </c>
      <c r="FM13" s="65">
        <f>FL13/43560</f>
        <v>0</v>
      </c>
      <c r="FN13" s="64">
        <v>98</v>
      </c>
      <c r="FO13" s="66">
        <f>(1000/FN13)-10</f>
        <v>0.204081632653061</v>
      </c>
      <c r="FP13" s="66">
        <f>(FM6-0.2*FO13)^2/(FM6+0.8*FO13)</f>
        <v>0.01751550807029312</v>
      </c>
      <c r="FQ13" s="67">
        <f>IF(FM6&gt;0,FP13*FM13,0)</f>
        <v>0</v>
      </c>
      <c r="FS13" s="63" t="s">
        <v>58</v>
      </c>
      <c r="FT13" s="64">
        <f>$D$27</f>
        <v>0</v>
      </c>
      <c r="FU13" s="65">
        <f>FT13/43560</f>
        <v>0</v>
      </c>
      <c r="FV13" s="64">
        <v>98</v>
      </c>
      <c r="FW13" s="66">
        <f>(1000/FV13)-10</f>
        <v>0.204081632653061</v>
      </c>
      <c r="FX13" s="66">
        <f>(FU6-0.2*FW13)^2/(FU6+0.8*FW13)</f>
        <v>0.8006006723440813</v>
      </c>
      <c r="FY13" s="67">
        <f>IF(FU6&gt;0,FX13*FU13,0)</f>
        <v>0</v>
      </c>
      <c r="GA13" s="63" t="s">
        <v>58</v>
      </c>
      <c r="GB13" s="64">
        <f>$D$27</f>
        <v>0</v>
      </c>
      <c r="GC13" s="65">
        <f>GB13/43560</f>
        <v>0</v>
      </c>
      <c r="GD13" s="64">
        <v>98</v>
      </c>
      <c r="GE13" s="66">
        <f>(1000/GD13)-10</f>
        <v>0.204081632653061</v>
      </c>
      <c r="GF13" s="66">
        <f>(GC6-0.2*GE13)^2/(GC6+0.8*GE13)</f>
        <v>0.44695204911232805</v>
      </c>
      <c r="GG13" s="67">
        <f>IF(GC6&gt;0,GF13*GC13,0)</f>
        <v>0</v>
      </c>
      <c r="GI13" s="63" t="s">
        <v>58</v>
      </c>
      <c r="GJ13" s="64">
        <f>$D$27</f>
        <v>0</v>
      </c>
      <c r="GK13" s="65">
        <f>GJ13/43560</f>
        <v>0</v>
      </c>
      <c r="GL13" s="64">
        <v>98</v>
      </c>
      <c r="GM13" s="66">
        <f>(1000/GL13)-10</f>
        <v>0.204081632653061</v>
      </c>
      <c r="GN13" s="66">
        <f>(GK6-0.2*GM13)^2/(GK6+0.8*GM13)</f>
        <v>0.19469706135184195</v>
      </c>
      <c r="GO13" s="67">
        <f>IF(GK6&gt;0,GN13*GK13,0)</f>
        <v>0</v>
      </c>
    </row>
    <row r="14" spans="1:197" ht="14.25">
      <c r="A14" s="121"/>
      <c r="B14" s="121"/>
      <c r="C14" s="121"/>
      <c r="D14" s="121"/>
      <c r="E14" s="121"/>
      <c r="F14" s="121"/>
      <c r="G14" s="121"/>
      <c r="H14" s="128"/>
      <c r="I14" s="121"/>
      <c r="K14" s="23"/>
      <c r="L14" s="23"/>
      <c r="M14" s="23"/>
      <c r="N14" s="23"/>
      <c r="O14" s="23"/>
      <c r="P14" s="23" t="s">
        <v>59</v>
      </c>
      <c r="Q14" s="68" t="e">
        <f>SUM(Q8:Q13)</f>
        <v>#N/A</v>
      </c>
      <c r="R14" s="23"/>
      <c r="S14" s="23"/>
      <c r="T14" s="23"/>
      <c r="U14" s="23"/>
      <c r="AB14" s="17" t="s">
        <v>59</v>
      </c>
      <c r="AC14" s="69" t="e">
        <f>SUM(AC8:AC13)</f>
        <v>#N/A</v>
      </c>
      <c r="AD14" s="24"/>
      <c r="AJ14" s="17" t="s">
        <v>59</v>
      </c>
      <c r="AK14" s="69" t="e">
        <f>SUM(AK8:AK13)</f>
        <v>#N/A</v>
      </c>
      <c r="AR14" s="17" t="s">
        <v>59</v>
      </c>
      <c r="AS14" s="69" t="e">
        <f>SUM(AS8:AS13)</f>
        <v>#N/A</v>
      </c>
      <c r="AZ14" s="17" t="s">
        <v>59</v>
      </c>
      <c r="BA14" s="69" t="e">
        <f>SUM(BA8:BA13)</f>
        <v>#N/A</v>
      </c>
      <c r="BH14" s="17" t="s">
        <v>59</v>
      </c>
      <c r="BI14" s="69" t="e">
        <f>SUM(BI8:BI13)</f>
        <v>#N/A</v>
      </c>
      <c r="BP14" s="17" t="s">
        <v>59</v>
      </c>
      <c r="BQ14" s="69" t="e">
        <f>SUM(BQ8:BQ13)</f>
        <v>#N/A</v>
      </c>
      <c r="BX14" s="17" t="s">
        <v>59</v>
      </c>
      <c r="BY14" s="69" t="e">
        <f>SUM(BY8:BY13)</f>
        <v>#N/A</v>
      </c>
      <c r="CF14" s="17" t="s">
        <v>59</v>
      </c>
      <c r="CG14" s="69" t="e">
        <f>SUM(CG8:CG13)</f>
        <v>#N/A</v>
      </c>
      <c r="CN14" s="17" t="s">
        <v>59</v>
      </c>
      <c r="CO14" s="69" t="e">
        <f>SUM(CO8:CO13)</f>
        <v>#N/A</v>
      </c>
      <c r="CV14" s="17" t="s">
        <v>59</v>
      </c>
      <c r="CW14" s="69" t="e">
        <f>SUM(CW8:CW13)</f>
        <v>#N/A</v>
      </c>
      <c r="DD14" s="17" t="s">
        <v>59</v>
      </c>
      <c r="DE14" s="69" t="e">
        <f>SUM(DE8:DE13)</f>
        <v>#N/A</v>
      </c>
      <c r="DL14" s="17" t="s">
        <v>59</v>
      </c>
      <c r="DM14" s="69" t="e">
        <f>SUM(DM8:DM13)</f>
        <v>#N/A</v>
      </c>
      <c r="DT14" s="17" t="s">
        <v>59</v>
      </c>
      <c r="DU14" s="69" t="e">
        <f>SUM(DU8:DU13)</f>
        <v>#N/A</v>
      </c>
      <c r="EB14" s="17" t="s">
        <v>59</v>
      </c>
      <c r="EC14" s="69" t="e">
        <f>SUM(EC8:EC13)</f>
        <v>#N/A</v>
      </c>
      <c r="EJ14" s="17" t="s">
        <v>59</v>
      </c>
      <c r="EK14" s="69" t="e">
        <f>SUM(EK8:EK13)</f>
        <v>#N/A</v>
      </c>
      <c r="ER14" s="17" t="s">
        <v>59</v>
      </c>
      <c r="ES14" s="69" t="e">
        <f>SUM(ES8:ES13)</f>
        <v>#N/A</v>
      </c>
      <c r="EZ14" s="17" t="s">
        <v>59</v>
      </c>
      <c r="FA14" s="69" t="e">
        <f>SUM(FA8:FA13)</f>
        <v>#N/A</v>
      </c>
      <c r="FH14" s="17" t="s">
        <v>59</v>
      </c>
      <c r="FI14" s="69" t="e">
        <f>SUM(FI8:FI13)</f>
        <v>#N/A</v>
      </c>
      <c r="FP14" s="17" t="s">
        <v>59</v>
      </c>
      <c r="FQ14" s="69" t="e">
        <f>SUM(FQ8:FQ13)</f>
        <v>#N/A</v>
      </c>
      <c r="FX14" s="17" t="s">
        <v>59</v>
      </c>
      <c r="FY14" s="69" t="e">
        <f>SUM(FY8:FY13)</f>
        <v>#N/A</v>
      </c>
      <c r="GF14" s="17" t="s">
        <v>59</v>
      </c>
      <c r="GG14" s="69" t="e">
        <f>SUM(GG8:GG13)</f>
        <v>#N/A</v>
      </c>
      <c r="GN14" s="17" t="s">
        <v>59</v>
      </c>
      <c r="GO14" s="69" t="e">
        <f>SUM(GO8:GO13)</f>
        <v>#N/A</v>
      </c>
    </row>
    <row r="15" spans="1:195" ht="14.25">
      <c r="A15" s="120"/>
      <c r="B15" s="120"/>
      <c r="C15" s="120"/>
      <c r="D15" s="120"/>
      <c r="E15" s="120"/>
      <c r="F15" s="120"/>
      <c r="G15" s="120"/>
      <c r="H15" s="120"/>
      <c r="I15" s="120"/>
      <c r="K15" s="23" t="s">
        <v>62</v>
      </c>
      <c r="L15" s="23" t="s">
        <v>63</v>
      </c>
      <c r="M15" s="23"/>
      <c r="N15" s="23"/>
      <c r="O15" s="23"/>
      <c r="P15" s="23"/>
      <c r="Q15" s="23"/>
      <c r="R15" s="23"/>
      <c r="S15" s="23"/>
      <c r="T15" s="23"/>
      <c r="U15" s="23"/>
      <c r="AB15" s="24"/>
      <c r="AC15" s="24"/>
      <c r="AD15" s="24"/>
      <c r="AE15" s="24"/>
      <c r="AF15" s="24"/>
      <c r="AG15" s="24"/>
      <c r="AH15" s="24"/>
      <c r="AI15" s="24"/>
      <c r="AM15" s="24"/>
      <c r="AN15" s="24"/>
      <c r="AO15" s="24"/>
      <c r="AP15" s="24"/>
      <c r="AQ15" s="24"/>
      <c r="AU15" s="24"/>
      <c r="AV15" s="24"/>
      <c r="AW15" s="24"/>
      <c r="AX15" s="24"/>
      <c r="AY15" s="24"/>
      <c r="BC15" s="24"/>
      <c r="BD15" s="24"/>
      <c r="BE15" s="24"/>
      <c r="BF15" s="24"/>
      <c r="BG15" s="24"/>
      <c r="BK15" s="24"/>
      <c r="BL15" s="24"/>
      <c r="BM15" s="24"/>
      <c r="BN15" s="24"/>
      <c r="BO15" s="24"/>
      <c r="BS15" s="24"/>
      <c r="BT15" s="24"/>
      <c r="BU15" s="24"/>
      <c r="BV15" s="24"/>
      <c r="BW15" s="24"/>
      <c r="CA15" s="24"/>
      <c r="CB15" s="24"/>
      <c r="CC15" s="24"/>
      <c r="CD15" s="24"/>
      <c r="CE15" s="24"/>
      <c r="CI15" s="24"/>
      <c r="CJ15" s="24"/>
      <c r="CK15" s="24"/>
      <c r="CL15" s="24"/>
      <c r="CM15" s="24"/>
      <c r="CQ15" s="24"/>
      <c r="CR15" s="24"/>
      <c r="CS15" s="24"/>
      <c r="CT15" s="24"/>
      <c r="CU15" s="24"/>
      <c r="CY15" s="24"/>
      <c r="CZ15" s="24"/>
      <c r="DA15" s="24"/>
      <c r="DB15" s="24"/>
      <c r="DC15" s="24"/>
      <c r="DG15" s="24"/>
      <c r="DH15" s="24"/>
      <c r="DI15" s="24"/>
      <c r="DJ15" s="24"/>
      <c r="DK15" s="24"/>
      <c r="DO15" s="24"/>
      <c r="DP15" s="24"/>
      <c r="DQ15" s="24"/>
      <c r="DR15" s="24"/>
      <c r="DS15" s="24"/>
      <c r="DW15" s="24"/>
      <c r="DX15" s="24"/>
      <c r="DY15" s="24"/>
      <c r="DZ15" s="24"/>
      <c r="EA15" s="24"/>
      <c r="EE15" s="24"/>
      <c r="EF15" s="24"/>
      <c r="EG15" s="24"/>
      <c r="EH15" s="24"/>
      <c r="EI15" s="24"/>
      <c r="EM15" s="24"/>
      <c r="EN15" s="24"/>
      <c r="EO15" s="24"/>
      <c r="EP15" s="24"/>
      <c r="EQ15" s="24"/>
      <c r="EU15" s="24"/>
      <c r="EV15" s="24"/>
      <c r="EW15" s="24"/>
      <c r="EX15" s="24"/>
      <c r="EY15" s="24"/>
      <c r="FC15" s="24"/>
      <c r="FD15" s="24"/>
      <c r="FE15" s="24"/>
      <c r="FF15" s="24"/>
      <c r="FG15" s="24"/>
      <c r="FK15" s="24"/>
      <c r="FL15" s="24"/>
      <c r="FM15" s="24"/>
      <c r="FN15" s="24"/>
      <c r="FO15" s="24"/>
      <c r="FS15" s="24"/>
      <c r="FT15" s="24"/>
      <c r="FU15" s="24"/>
      <c r="FV15" s="24"/>
      <c r="FW15" s="24"/>
      <c r="GA15" s="24"/>
      <c r="GB15" s="24"/>
      <c r="GC15" s="24"/>
      <c r="GD15" s="24"/>
      <c r="GE15" s="24"/>
      <c r="GI15" s="24"/>
      <c r="GJ15" s="24"/>
      <c r="GK15" s="24"/>
      <c r="GL15" s="24"/>
      <c r="GM15" s="24"/>
    </row>
    <row r="16" spans="1:196" ht="14.25">
      <c r="A16" s="121"/>
      <c r="B16" s="128" t="s">
        <v>69</v>
      </c>
      <c r="C16" s="115"/>
      <c r="D16" s="121" t="s">
        <v>70</v>
      </c>
      <c r="E16" s="115"/>
      <c r="F16" s="121" t="s">
        <v>70</v>
      </c>
      <c r="G16" s="121"/>
      <c r="H16" s="121"/>
      <c r="I16" s="121"/>
      <c r="K16" s="19" t="s">
        <v>64</v>
      </c>
      <c r="L16" s="20"/>
      <c r="M16" s="20"/>
      <c r="N16" s="30" t="s">
        <v>65</v>
      </c>
      <c r="O16" s="30" t="s">
        <v>66</v>
      </c>
      <c r="P16" s="70" t="s">
        <v>67</v>
      </c>
      <c r="Q16" s="23"/>
      <c r="R16" s="23"/>
      <c r="S16" s="23"/>
      <c r="T16" s="23"/>
      <c r="U16" s="23"/>
      <c r="AB16" s="24"/>
      <c r="AC16" s="24"/>
      <c r="AD16" s="25"/>
      <c r="AE16" s="24"/>
      <c r="AF16" s="24"/>
      <c r="AG16" s="24"/>
      <c r="AH16" s="64"/>
      <c r="AI16" s="64"/>
      <c r="AJ16" s="64"/>
      <c r="AM16" s="24"/>
      <c r="AN16" s="24"/>
      <c r="AO16" s="24"/>
      <c r="AP16" s="64"/>
      <c r="AQ16" s="64"/>
      <c r="AR16" s="64"/>
      <c r="AU16" s="24"/>
      <c r="AV16" s="24"/>
      <c r="AW16" s="24"/>
      <c r="AX16" s="64"/>
      <c r="AY16" s="64"/>
      <c r="AZ16" s="64"/>
      <c r="BC16" s="24"/>
      <c r="BD16" s="24"/>
      <c r="BE16" s="24"/>
      <c r="BF16" s="64"/>
      <c r="BG16" s="64"/>
      <c r="BH16" s="64"/>
      <c r="BK16" s="24"/>
      <c r="BL16" s="24"/>
      <c r="BM16" s="24"/>
      <c r="BN16" s="64"/>
      <c r="BO16" s="64"/>
      <c r="BP16" s="64"/>
      <c r="BS16" s="24"/>
      <c r="BT16" s="24"/>
      <c r="BU16" s="24"/>
      <c r="BV16" s="64"/>
      <c r="BW16" s="64"/>
      <c r="BX16" s="64"/>
      <c r="CA16" s="24"/>
      <c r="CB16" s="24"/>
      <c r="CC16" s="24"/>
      <c r="CD16" s="64"/>
      <c r="CE16" s="64"/>
      <c r="CF16" s="64"/>
      <c r="CI16" s="24"/>
      <c r="CJ16" s="24"/>
      <c r="CK16" s="24"/>
      <c r="CL16" s="64"/>
      <c r="CM16" s="64"/>
      <c r="CN16" s="64"/>
      <c r="CQ16" s="24"/>
      <c r="CR16" s="24"/>
      <c r="CS16" s="24"/>
      <c r="CT16" s="64"/>
      <c r="CU16" s="64"/>
      <c r="CV16" s="64"/>
      <c r="CY16" s="24"/>
      <c r="CZ16" s="24"/>
      <c r="DA16" s="24"/>
      <c r="DB16" s="64"/>
      <c r="DC16" s="64"/>
      <c r="DD16" s="64"/>
      <c r="DG16" s="24"/>
      <c r="DH16" s="24"/>
      <c r="DI16" s="24"/>
      <c r="DJ16" s="64"/>
      <c r="DK16" s="64"/>
      <c r="DL16" s="64"/>
      <c r="DO16" s="24"/>
      <c r="DP16" s="24"/>
      <c r="DQ16" s="24"/>
      <c r="DR16" s="64"/>
      <c r="DS16" s="64"/>
      <c r="DT16" s="64"/>
      <c r="DW16" s="24"/>
      <c r="DX16" s="24"/>
      <c r="DY16" s="24"/>
      <c r="DZ16" s="64"/>
      <c r="EA16" s="64"/>
      <c r="EB16" s="64"/>
      <c r="EE16" s="24"/>
      <c r="EF16" s="24"/>
      <c r="EG16" s="24"/>
      <c r="EH16" s="64"/>
      <c r="EI16" s="64"/>
      <c r="EJ16" s="64"/>
      <c r="EM16" s="24"/>
      <c r="EN16" s="24"/>
      <c r="EO16" s="24"/>
      <c r="EP16" s="64"/>
      <c r="EQ16" s="64"/>
      <c r="ER16" s="64"/>
      <c r="EU16" s="24"/>
      <c r="EV16" s="24"/>
      <c r="EW16" s="24"/>
      <c r="EX16" s="64"/>
      <c r="EY16" s="64"/>
      <c r="EZ16" s="64"/>
      <c r="FC16" s="24"/>
      <c r="FD16" s="24"/>
      <c r="FE16" s="24"/>
      <c r="FF16" s="64"/>
      <c r="FG16" s="64"/>
      <c r="FH16" s="64"/>
      <c r="FK16" s="24"/>
      <c r="FL16" s="24"/>
      <c r="FM16" s="24"/>
      <c r="FN16" s="64"/>
      <c r="FO16" s="64"/>
      <c r="FP16" s="64"/>
      <c r="FS16" s="24"/>
      <c r="FT16" s="24"/>
      <c r="FU16" s="24"/>
      <c r="FV16" s="64"/>
      <c r="FW16" s="64"/>
      <c r="FX16" s="64"/>
      <c r="GA16" s="24"/>
      <c r="GB16" s="24"/>
      <c r="GC16" s="24"/>
      <c r="GD16" s="64"/>
      <c r="GE16" s="64"/>
      <c r="GF16" s="64"/>
      <c r="GI16" s="24"/>
      <c r="GJ16" s="24"/>
      <c r="GK16" s="24"/>
      <c r="GL16" s="64"/>
      <c r="GM16" s="64"/>
      <c r="GN16" s="64"/>
    </row>
    <row r="17" spans="1:196" ht="14.25">
      <c r="A17" s="121"/>
      <c r="B17" s="128" t="s">
        <v>74</v>
      </c>
      <c r="C17" s="115"/>
      <c r="D17" s="121"/>
      <c r="E17" s="115"/>
      <c r="F17" s="121"/>
      <c r="G17" s="138" t="s">
        <v>275</v>
      </c>
      <c r="H17" s="121"/>
      <c r="I17" s="121"/>
      <c r="K17" s="46" t="s">
        <v>68</v>
      </c>
      <c r="L17" s="34" t="s">
        <v>71</v>
      </c>
      <c r="M17" s="34" t="s">
        <v>72</v>
      </c>
      <c r="N17" s="71" t="s">
        <v>67</v>
      </c>
      <c r="O17" s="71" t="s">
        <v>67</v>
      </c>
      <c r="P17" s="72" t="s">
        <v>73</v>
      </c>
      <c r="Q17" s="23"/>
      <c r="R17" s="23"/>
      <c r="S17" s="23"/>
      <c r="T17" s="23"/>
      <c r="U17" s="23"/>
      <c r="Z17" s="40"/>
      <c r="AA17" s="41"/>
      <c r="AB17" s="43"/>
      <c r="AC17" s="24"/>
      <c r="AD17" s="31"/>
      <c r="AE17" s="24"/>
      <c r="AF17" s="24"/>
      <c r="AG17" s="24"/>
      <c r="AH17" s="40"/>
      <c r="AI17" s="41"/>
      <c r="AJ17" s="43"/>
      <c r="AM17" s="24"/>
      <c r="AN17" s="24"/>
      <c r="AO17" s="24"/>
      <c r="AP17" s="40"/>
      <c r="AQ17" s="41"/>
      <c r="AR17" s="43"/>
      <c r="AU17" s="24"/>
      <c r="AV17" s="24"/>
      <c r="AW17" s="24"/>
      <c r="AX17" s="40"/>
      <c r="AY17" s="41"/>
      <c r="AZ17" s="43"/>
      <c r="BC17" s="24"/>
      <c r="BD17" s="24"/>
      <c r="BE17" s="24"/>
      <c r="BF17" s="40"/>
      <c r="BG17" s="41"/>
      <c r="BH17" s="43"/>
      <c r="BK17" s="24"/>
      <c r="BL17" s="24"/>
      <c r="BM17" s="24"/>
      <c r="BN17" s="40"/>
      <c r="BO17" s="41"/>
      <c r="BP17" s="43"/>
      <c r="BS17" s="24"/>
      <c r="BT17" s="24"/>
      <c r="BU17" s="24"/>
      <c r="BV17" s="40"/>
      <c r="BW17" s="41"/>
      <c r="BX17" s="43"/>
      <c r="CA17" s="24"/>
      <c r="CB17" s="24"/>
      <c r="CC17" s="24"/>
      <c r="CD17" s="40"/>
      <c r="CE17" s="41"/>
      <c r="CF17" s="43"/>
      <c r="CI17" s="24"/>
      <c r="CJ17" s="24"/>
      <c r="CK17" s="24"/>
      <c r="CL17" s="40"/>
      <c r="CM17" s="41"/>
      <c r="CN17" s="43"/>
      <c r="CQ17" s="24"/>
      <c r="CR17" s="24"/>
      <c r="CS17" s="24"/>
      <c r="CT17" s="40"/>
      <c r="CU17" s="41"/>
      <c r="CV17" s="43"/>
      <c r="CY17" s="24"/>
      <c r="CZ17" s="24"/>
      <c r="DA17" s="24"/>
      <c r="DB17" s="40"/>
      <c r="DC17" s="41"/>
      <c r="DD17" s="43"/>
      <c r="DG17" s="24"/>
      <c r="DH17" s="24"/>
      <c r="DI17" s="24"/>
      <c r="DJ17" s="40"/>
      <c r="DK17" s="41"/>
      <c r="DL17" s="43"/>
      <c r="DO17" s="24"/>
      <c r="DP17" s="24"/>
      <c r="DQ17" s="24"/>
      <c r="DR17" s="40"/>
      <c r="DS17" s="41"/>
      <c r="DT17" s="43"/>
      <c r="DW17" s="24"/>
      <c r="DX17" s="24"/>
      <c r="DY17" s="24"/>
      <c r="DZ17" s="40"/>
      <c r="EA17" s="41"/>
      <c r="EB17" s="43"/>
      <c r="EE17" s="24"/>
      <c r="EF17" s="24"/>
      <c r="EG17" s="24"/>
      <c r="EH17" s="40"/>
      <c r="EI17" s="41"/>
      <c r="EJ17" s="43"/>
      <c r="EM17" s="24"/>
      <c r="EN17" s="24"/>
      <c r="EO17" s="24"/>
      <c r="EP17" s="40"/>
      <c r="EQ17" s="41"/>
      <c r="ER17" s="43"/>
      <c r="EU17" s="24"/>
      <c r="EV17" s="24"/>
      <c r="EW17" s="24"/>
      <c r="EX17" s="40"/>
      <c r="EY17" s="41"/>
      <c r="EZ17" s="43"/>
      <c r="FC17" s="24"/>
      <c r="FD17" s="24"/>
      <c r="FE17" s="24"/>
      <c r="FF17" s="40"/>
      <c r="FG17" s="41"/>
      <c r="FH17" s="43"/>
      <c r="FK17" s="24"/>
      <c r="FL17" s="24"/>
      <c r="FM17" s="24"/>
      <c r="FN17" s="40"/>
      <c r="FO17" s="41"/>
      <c r="FP17" s="43"/>
      <c r="FS17" s="24"/>
      <c r="FT17" s="24"/>
      <c r="FU17" s="24"/>
      <c r="FV17" s="40"/>
      <c r="FW17" s="41"/>
      <c r="FX17" s="43"/>
      <c r="GA17" s="24"/>
      <c r="GB17" s="24"/>
      <c r="GC17" s="24"/>
      <c r="GD17" s="40"/>
      <c r="GE17" s="41"/>
      <c r="GF17" s="43"/>
      <c r="GI17" s="24"/>
      <c r="GJ17" s="24"/>
      <c r="GK17" s="24"/>
      <c r="GL17" s="40"/>
      <c r="GM17" s="41"/>
      <c r="GN17" s="43"/>
    </row>
    <row r="18" spans="1:196" ht="14.25">
      <c r="A18" s="121"/>
      <c r="B18" s="128" t="s">
        <v>77</v>
      </c>
      <c r="C18" s="116"/>
      <c r="D18" s="129" t="s">
        <v>22</v>
      </c>
      <c r="E18" s="116"/>
      <c r="F18" s="121" t="s">
        <v>22</v>
      </c>
      <c r="G18" s="121"/>
      <c r="H18" s="121"/>
      <c r="I18" s="121"/>
      <c r="K18" s="46" t="s">
        <v>75</v>
      </c>
      <c r="L18" s="34">
        <v>1400</v>
      </c>
      <c r="M18" s="34" t="str">
        <f>IF($C$17=1,C16," ")</f>
        <v> </v>
      </c>
      <c r="N18" s="34">
        <v>0.92</v>
      </c>
      <c r="O18" s="49" t="str">
        <f>IF($C$17=1,N18*($C$18/L18)," ")</f>
        <v> </v>
      </c>
      <c r="P18" s="50">
        <f>IF($C$17=1,O18*M18,0)</f>
        <v>0</v>
      </c>
      <c r="Q18" s="23"/>
      <c r="R18" s="23"/>
      <c r="S18" s="23"/>
      <c r="T18" s="23"/>
      <c r="U18" s="23"/>
      <c r="Z18" s="74" t="s">
        <v>76</v>
      </c>
      <c r="AA18" s="24"/>
      <c r="AB18" s="75" t="s">
        <v>76</v>
      </c>
      <c r="AC18" s="24"/>
      <c r="AD18" s="31"/>
      <c r="AE18" s="24"/>
      <c r="AF18" s="24"/>
      <c r="AG18" s="24"/>
      <c r="AH18" s="74" t="s">
        <v>76</v>
      </c>
      <c r="AI18" s="24"/>
      <c r="AJ18" s="75" t="s">
        <v>76</v>
      </c>
      <c r="AM18" s="24"/>
      <c r="AN18" s="24"/>
      <c r="AO18" s="24"/>
      <c r="AP18" s="74" t="s">
        <v>76</v>
      </c>
      <c r="AQ18" s="24"/>
      <c r="AR18" s="75" t="s">
        <v>76</v>
      </c>
      <c r="AU18" s="24"/>
      <c r="AV18" s="24"/>
      <c r="AW18" s="24"/>
      <c r="AX18" s="74" t="s">
        <v>76</v>
      </c>
      <c r="AY18" s="24"/>
      <c r="AZ18" s="75" t="s">
        <v>76</v>
      </c>
      <c r="BC18" s="24"/>
      <c r="BD18" s="24"/>
      <c r="BE18" s="24"/>
      <c r="BF18" s="74" t="s">
        <v>76</v>
      </c>
      <c r="BG18" s="24"/>
      <c r="BH18" s="75" t="s">
        <v>76</v>
      </c>
      <c r="BK18" s="24"/>
      <c r="BL18" s="24"/>
      <c r="BM18" s="24"/>
      <c r="BN18" s="74" t="s">
        <v>76</v>
      </c>
      <c r="BO18" s="24"/>
      <c r="BP18" s="75" t="s">
        <v>76</v>
      </c>
      <c r="BS18" s="24"/>
      <c r="BT18" s="24"/>
      <c r="BU18" s="24"/>
      <c r="BV18" s="74" t="s">
        <v>76</v>
      </c>
      <c r="BW18" s="24"/>
      <c r="BX18" s="75" t="s">
        <v>76</v>
      </c>
      <c r="CA18" s="24"/>
      <c r="CB18" s="24"/>
      <c r="CC18" s="24"/>
      <c r="CD18" s="74" t="s">
        <v>76</v>
      </c>
      <c r="CE18" s="24"/>
      <c r="CF18" s="75" t="s">
        <v>76</v>
      </c>
      <c r="CI18" s="24"/>
      <c r="CJ18" s="24"/>
      <c r="CK18" s="24"/>
      <c r="CL18" s="74" t="s">
        <v>76</v>
      </c>
      <c r="CM18" s="24"/>
      <c r="CN18" s="75" t="s">
        <v>76</v>
      </c>
      <c r="CQ18" s="24"/>
      <c r="CR18" s="24"/>
      <c r="CS18" s="24"/>
      <c r="CT18" s="74" t="s">
        <v>76</v>
      </c>
      <c r="CU18" s="24"/>
      <c r="CV18" s="75" t="s">
        <v>76</v>
      </c>
      <c r="CY18" s="24"/>
      <c r="CZ18" s="24"/>
      <c r="DA18" s="24"/>
      <c r="DB18" s="74" t="s">
        <v>76</v>
      </c>
      <c r="DC18" s="24"/>
      <c r="DD18" s="75" t="s">
        <v>76</v>
      </c>
      <c r="DG18" s="24"/>
      <c r="DH18" s="24"/>
      <c r="DI18" s="24"/>
      <c r="DJ18" s="74" t="s">
        <v>76</v>
      </c>
      <c r="DK18" s="24"/>
      <c r="DL18" s="75" t="s">
        <v>76</v>
      </c>
      <c r="DO18" s="24"/>
      <c r="DP18" s="24"/>
      <c r="DQ18" s="24"/>
      <c r="DR18" s="74" t="s">
        <v>76</v>
      </c>
      <c r="DS18" s="24"/>
      <c r="DT18" s="75" t="s">
        <v>76</v>
      </c>
      <c r="DW18" s="24"/>
      <c r="DX18" s="24"/>
      <c r="DY18" s="24"/>
      <c r="DZ18" s="74" t="s">
        <v>76</v>
      </c>
      <c r="EA18" s="24"/>
      <c r="EB18" s="75" t="s">
        <v>76</v>
      </c>
      <c r="EE18" s="24"/>
      <c r="EF18" s="24"/>
      <c r="EG18" s="24"/>
      <c r="EH18" s="74" t="s">
        <v>76</v>
      </c>
      <c r="EI18" s="24"/>
      <c r="EJ18" s="75" t="s">
        <v>76</v>
      </c>
      <c r="EM18" s="24"/>
      <c r="EN18" s="24"/>
      <c r="EO18" s="24"/>
      <c r="EP18" s="74" t="s">
        <v>76</v>
      </c>
      <c r="EQ18" s="24"/>
      <c r="ER18" s="75" t="s">
        <v>76</v>
      </c>
      <c r="EU18" s="24"/>
      <c r="EV18" s="24"/>
      <c r="EW18" s="24"/>
      <c r="EX18" s="74" t="s">
        <v>76</v>
      </c>
      <c r="EY18" s="24"/>
      <c r="EZ18" s="75" t="s">
        <v>76</v>
      </c>
      <c r="FC18" s="24"/>
      <c r="FD18" s="24"/>
      <c r="FE18" s="24"/>
      <c r="FF18" s="74" t="s">
        <v>76</v>
      </c>
      <c r="FG18" s="24"/>
      <c r="FH18" s="75" t="s">
        <v>76</v>
      </c>
      <c r="FK18" s="24"/>
      <c r="FL18" s="24"/>
      <c r="FM18" s="24"/>
      <c r="FN18" s="74" t="s">
        <v>76</v>
      </c>
      <c r="FO18" s="24"/>
      <c r="FP18" s="75" t="s">
        <v>76</v>
      </c>
      <c r="FS18" s="24"/>
      <c r="FT18" s="24"/>
      <c r="FU18" s="24"/>
      <c r="FV18" s="74" t="s">
        <v>76</v>
      </c>
      <c r="FW18" s="24"/>
      <c r="FX18" s="75" t="s">
        <v>76</v>
      </c>
      <c r="GA18" s="24"/>
      <c r="GB18" s="24"/>
      <c r="GC18" s="24"/>
      <c r="GD18" s="74" t="s">
        <v>76</v>
      </c>
      <c r="GE18" s="24"/>
      <c r="GF18" s="75" t="s">
        <v>76</v>
      </c>
      <c r="GI18" s="24"/>
      <c r="GJ18" s="24"/>
      <c r="GK18" s="24"/>
      <c r="GL18" s="74" t="s">
        <v>76</v>
      </c>
      <c r="GM18" s="24"/>
      <c r="GN18" s="75" t="s">
        <v>76</v>
      </c>
    </row>
    <row r="19" spans="1:196" ht="14.25">
      <c r="A19" s="121"/>
      <c r="B19" s="128" t="s">
        <v>80</v>
      </c>
      <c r="C19" s="115"/>
      <c r="D19" s="121"/>
      <c r="E19" s="191"/>
      <c r="F19" s="121"/>
      <c r="G19" s="190" t="s">
        <v>274</v>
      </c>
      <c r="H19" s="121"/>
      <c r="I19" s="121"/>
      <c r="K19" s="46" t="s">
        <v>20</v>
      </c>
      <c r="L19" s="34">
        <v>1000</v>
      </c>
      <c r="M19" s="34" t="str">
        <f>IF($C$17=2,C16," ")</f>
        <v> </v>
      </c>
      <c r="N19" s="34">
        <v>1</v>
      </c>
      <c r="O19" s="49" t="str">
        <f>IF($C$17=2,N19*($C$18/L19)," ")</f>
        <v> </v>
      </c>
      <c r="P19" s="50">
        <f>IF($C$17=2,O19*M19,0)</f>
        <v>0</v>
      </c>
      <c r="Q19" s="23"/>
      <c r="R19" s="23"/>
      <c r="S19" s="23"/>
      <c r="T19" s="23"/>
      <c r="U19" s="23"/>
      <c r="Z19" s="74" t="s">
        <v>78</v>
      </c>
      <c r="AA19" s="24"/>
      <c r="AB19" s="75" t="s">
        <v>79</v>
      </c>
      <c r="AC19" s="24"/>
      <c r="AD19" s="31"/>
      <c r="AE19" s="24"/>
      <c r="AF19" s="24"/>
      <c r="AG19" s="24"/>
      <c r="AH19" s="74" t="s">
        <v>78</v>
      </c>
      <c r="AI19" s="24"/>
      <c r="AJ19" s="75" t="s">
        <v>79</v>
      </c>
      <c r="AM19" s="24"/>
      <c r="AN19" s="24"/>
      <c r="AO19" s="24"/>
      <c r="AP19" s="74" t="s">
        <v>78</v>
      </c>
      <c r="AQ19" s="24"/>
      <c r="AR19" s="75" t="s">
        <v>79</v>
      </c>
      <c r="AU19" s="24"/>
      <c r="AV19" s="24"/>
      <c r="AW19" s="24"/>
      <c r="AX19" s="74" t="s">
        <v>78</v>
      </c>
      <c r="AY19" s="24"/>
      <c r="AZ19" s="75" t="s">
        <v>79</v>
      </c>
      <c r="BC19" s="24"/>
      <c r="BD19" s="24"/>
      <c r="BE19" s="24"/>
      <c r="BF19" s="74" t="s">
        <v>78</v>
      </c>
      <c r="BG19" s="24"/>
      <c r="BH19" s="75" t="s">
        <v>79</v>
      </c>
      <c r="BK19" s="24"/>
      <c r="BL19" s="24"/>
      <c r="BM19" s="24"/>
      <c r="BN19" s="74" t="s">
        <v>78</v>
      </c>
      <c r="BO19" s="24"/>
      <c r="BP19" s="75" t="s">
        <v>79</v>
      </c>
      <c r="BS19" s="24"/>
      <c r="BT19" s="24"/>
      <c r="BU19" s="24"/>
      <c r="BV19" s="74" t="s">
        <v>78</v>
      </c>
      <c r="BW19" s="24"/>
      <c r="BX19" s="75" t="s">
        <v>79</v>
      </c>
      <c r="CA19" s="24"/>
      <c r="CB19" s="24"/>
      <c r="CC19" s="24"/>
      <c r="CD19" s="74" t="s">
        <v>78</v>
      </c>
      <c r="CE19" s="24"/>
      <c r="CF19" s="75" t="s">
        <v>79</v>
      </c>
      <c r="CI19" s="24"/>
      <c r="CJ19" s="24"/>
      <c r="CK19" s="24"/>
      <c r="CL19" s="74" t="s">
        <v>78</v>
      </c>
      <c r="CM19" s="24"/>
      <c r="CN19" s="75" t="s">
        <v>79</v>
      </c>
      <c r="CQ19" s="24"/>
      <c r="CR19" s="24"/>
      <c r="CS19" s="24"/>
      <c r="CT19" s="74" t="s">
        <v>78</v>
      </c>
      <c r="CU19" s="24"/>
      <c r="CV19" s="75" t="s">
        <v>79</v>
      </c>
      <c r="CY19" s="24"/>
      <c r="CZ19" s="24"/>
      <c r="DA19" s="24"/>
      <c r="DB19" s="74" t="s">
        <v>78</v>
      </c>
      <c r="DC19" s="24"/>
      <c r="DD19" s="75" t="s">
        <v>79</v>
      </c>
      <c r="DG19" s="24"/>
      <c r="DH19" s="24"/>
      <c r="DI19" s="24"/>
      <c r="DJ19" s="74" t="s">
        <v>78</v>
      </c>
      <c r="DK19" s="24"/>
      <c r="DL19" s="75" t="s">
        <v>79</v>
      </c>
      <c r="DO19" s="24"/>
      <c r="DP19" s="24"/>
      <c r="DQ19" s="24"/>
      <c r="DR19" s="74" t="s">
        <v>78</v>
      </c>
      <c r="DS19" s="24"/>
      <c r="DT19" s="75" t="s">
        <v>79</v>
      </c>
      <c r="DW19" s="24"/>
      <c r="DX19" s="24"/>
      <c r="DY19" s="24"/>
      <c r="DZ19" s="74" t="s">
        <v>78</v>
      </c>
      <c r="EA19" s="24"/>
      <c r="EB19" s="75" t="s">
        <v>79</v>
      </c>
      <c r="EE19" s="24"/>
      <c r="EF19" s="24"/>
      <c r="EG19" s="24"/>
      <c r="EH19" s="74" t="s">
        <v>78</v>
      </c>
      <c r="EI19" s="24"/>
      <c r="EJ19" s="75" t="s">
        <v>79</v>
      </c>
      <c r="EM19" s="24"/>
      <c r="EN19" s="24"/>
      <c r="EO19" s="24"/>
      <c r="EP19" s="74" t="s">
        <v>78</v>
      </c>
      <c r="EQ19" s="24"/>
      <c r="ER19" s="75" t="s">
        <v>79</v>
      </c>
      <c r="EU19" s="24"/>
      <c r="EV19" s="24"/>
      <c r="EW19" s="24"/>
      <c r="EX19" s="74" t="s">
        <v>78</v>
      </c>
      <c r="EY19" s="24"/>
      <c r="EZ19" s="75" t="s">
        <v>79</v>
      </c>
      <c r="FC19" s="24"/>
      <c r="FD19" s="24"/>
      <c r="FE19" s="24"/>
      <c r="FF19" s="74" t="s">
        <v>78</v>
      </c>
      <c r="FG19" s="24"/>
      <c r="FH19" s="75" t="s">
        <v>79</v>
      </c>
      <c r="FK19" s="24"/>
      <c r="FL19" s="24"/>
      <c r="FM19" s="24"/>
      <c r="FN19" s="74" t="s">
        <v>78</v>
      </c>
      <c r="FO19" s="24"/>
      <c r="FP19" s="75" t="s">
        <v>79</v>
      </c>
      <c r="FS19" s="24"/>
      <c r="FT19" s="24"/>
      <c r="FU19" s="24"/>
      <c r="FV19" s="74" t="s">
        <v>78</v>
      </c>
      <c r="FW19" s="24"/>
      <c r="FX19" s="75" t="s">
        <v>79</v>
      </c>
      <c r="GA19" s="24"/>
      <c r="GB19" s="24"/>
      <c r="GC19" s="24"/>
      <c r="GD19" s="74" t="s">
        <v>78</v>
      </c>
      <c r="GE19" s="24"/>
      <c r="GF19" s="75" t="s">
        <v>79</v>
      </c>
      <c r="GI19" s="24"/>
      <c r="GJ19" s="24"/>
      <c r="GK19" s="24"/>
      <c r="GL19" s="74" t="s">
        <v>78</v>
      </c>
      <c r="GM19" s="24"/>
      <c r="GN19" s="75" t="s">
        <v>79</v>
      </c>
    </row>
    <row r="20" spans="1:196" ht="14.25">
      <c r="A20" s="121"/>
      <c r="B20" s="121"/>
      <c r="C20" s="121"/>
      <c r="D20" s="121"/>
      <c r="E20" s="121"/>
      <c r="F20" s="121"/>
      <c r="G20" s="121"/>
      <c r="H20" s="121"/>
      <c r="I20" s="121"/>
      <c r="K20" s="32"/>
      <c r="L20" s="34"/>
      <c r="M20" s="34"/>
      <c r="N20" s="34"/>
      <c r="O20" s="49"/>
      <c r="P20" s="50"/>
      <c r="Q20" s="23"/>
      <c r="R20" s="23"/>
      <c r="S20" s="23"/>
      <c r="T20" s="23"/>
      <c r="U20" s="23"/>
      <c r="Z20" s="74" t="s">
        <v>81</v>
      </c>
      <c r="AA20" s="25" t="s">
        <v>82</v>
      </c>
      <c r="AB20" s="75" t="s">
        <v>83</v>
      </c>
      <c r="AC20" s="24"/>
      <c r="AD20" s="24"/>
      <c r="AE20" s="24"/>
      <c r="AF20" s="24"/>
      <c r="AG20" s="24"/>
      <c r="AH20" s="74" t="s">
        <v>81</v>
      </c>
      <c r="AI20" s="25" t="s">
        <v>82</v>
      </c>
      <c r="AJ20" s="75" t="s">
        <v>83</v>
      </c>
      <c r="AM20" s="24"/>
      <c r="AN20" s="24"/>
      <c r="AO20" s="24"/>
      <c r="AP20" s="74" t="s">
        <v>81</v>
      </c>
      <c r="AQ20" s="25" t="s">
        <v>82</v>
      </c>
      <c r="AR20" s="75" t="s">
        <v>83</v>
      </c>
      <c r="AU20" s="24"/>
      <c r="AV20" s="24"/>
      <c r="AW20" s="24"/>
      <c r="AX20" s="74" t="s">
        <v>81</v>
      </c>
      <c r="AY20" s="25" t="s">
        <v>82</v>
      </c>
      <c r="AZ20" s="75" t="s">
        <v>83</v>
      </c>
      <c r="BC20" s="24"/>
      <c r="BD20" s="24"/>
      <c r="BE20" s="24"/>
      <c r="BF20" s="74" t="s">
        <v>81</v>
      </c>
      <c r="BG20" s="25" t="s">
        <v>82</v>
      </c>
      <c r="BH20" s="75" t="s">
        <v>83</v>
      </c>
      <c r="BK20" s="24"/>
      <c r="BL20" s="24"/>
      <c r="BM20" s="24"/>
      <c r="BN20" s="74" t="s">
        <v>81</v>
      </c>
      <c r="BO20" s="25" t="s">
        <v>82</v>
      </c>
      <c r="BP20" s="75" t="s">
        <v>83</v>
      </c>
      <c r="BS20" s="24"/>
      <c r="BT20" s="24"/>
      <c r="BU20" s="24"/>
      <c r="BV20" s="74" t="s">
        <v>81</v>
      </c>
      <c r="BW20" s="25" t="s">
        <v>82</v>
      </c>
      <c r="BX20" s="75" t="s">
        <v>83</v>
      </c>
      <c r="CA20" s="24"/>
      <c r="CB20" s="24"/>
      <c r="CC20" s="24"/>
      <c r="CD20" s="74" t="s">
        <v>81</v>
      </c>
      <c r="CE20" s="25" t="s">
        <v>82</v>
      </c>
      <c r="CF20" s="75" t="s">
        <v>83</v>
      </c>
      <c r="CI20" s="24"/>
      <c r="CJ20" s="24"/>
      <c r="CK20" s="24"/>
      <c r="CL20" s="74" t="s">
        <v>81</v>
      </c>
      <c r="CM20" s="25" t="s">
        <v>82</v>
      </c>
      <c r="CN20" s="75" t="s">
        <v>83</v>
      </c>
      <c r="CQ20" s="24"/>
      <c r="CR20" s="24"/>
      <c r="CS20" s="24"/>
      <c r="CT20" s="74" t="s">
        <v>81</v>
      </c>
      <c r="CU20" s="25" t="s">
        <v>82</v>
      </c>
      <c r="CV20" s="75" t="s">
        <v>83</v>
      </c>
      <c r="CY20" s="24"/>
      <c r="CZ20" s="24"/>
      <c r="DA20" s="24"/>
      <c r="DB20" s="74" t="s">
        <v>81</v>
      </c>
      <c r="DC20" s="25" t="s">
        <v>82</v>
      </c>
      <c r="DD20" s="75" t="s">
        <v>83</v>
      </c>
      <c r="DG20" s="24"/>
      <c r="DH20" s="24"/>
      <c r="DI20" s="24"/>
      <c r="DJ20" s="74" t="s">
        <v>81</v>
      </c>
      <c r="DK20" s="25" t="s">
        <v>82</v>
      </c>
      <c r="DL20" s="75" t="s">
        <v>83</v>
      </c>
      <c r="DO20" s="24"/>
      <c r="DP20" s="24"/>
      <c r="DQ20" s="24"/>
      <c r="DR20" s="74" t="s">
        <v>81</v>
      </c>
      <c r="DS20" s="25" t="s">
        <v>82</v>
      </c>
      <c r="DT20" s="75" t="s">
        <v>83</v>
      </c>
      <c r="DW20" s="24"/>
      <c r="DX20" s="24"/>
      <c r="DY20" s="24"/>
      <c r="DZ20" s="74" t="s">
        <v>81</v>
      </c>
      <c r="EA20" s="25" t="s">
        <v>82</v>
      </c>
      <c r="EB20" s="75" t="s">
        <v>83</v>
      </c>
      <c r="EE20" s="24"/>
      <c r="EF20" s="24"/>
      <c r="EG20" s="24"/>
      <c r="EH20" s="74" t="s">
        <v>81</v>
      </c>
      <c r="EI20" s="25" t="s">
        <v>82</v>
      </c>
      <c r="EJ20" s="75" t="s">
        <v>83</v>
      </c>
      <c r="EM20" s="24"/>
      <c r="EN20" s="24"/>
      <c r="EO20" s="24"/>
      <c r="EP20" s="74" t="s">
        <v>81</v>
      </c>
      <c r="EQ20" s="25" t="s">
        <v>82</v>
      </c>
      <c r="ER20" s="75" t="s">
        <v>83</v>
      </c>
      <c r="EU20" s="24"/>
      <c r="EV20" s="24"/>
      <c r="EW20" s="24"/>
      <c r="EX20" s="74" t="s">
        <v>81</v>
      </c>
      <c r="EY20" s="25" t="s">
        <v>82</v>
      </c>
      <c r="EZ20" s="75" t="s">
        <v>83</v>
      </c>
      <c r="FC20" s="24"/>
      <c r="FD20" s="24"/>
      <c r="FE20" s="24"/>
      <c r="FF20" s="74" t="s">
        <v>81</v>
      </c>
      <c r="FG20" s="25" t="s">
        <v>82</v>
      </c>
      <c r="FH20" s="75" t="s">
        <v>83</v>
      </c>
      <c r="FK20" s="24"/>
      <c r="FL20" s="24"/>
      <c r="FM20" s="24"/>
      <c r="FN20" s="74" t="s">
        <v>81</v>
      </c>
      <c r="FO20" s="25" t="s">
        <v>82</v>
      </c>
      <c r="FP20" s="75" t="s">
        <v>83</v>
      </c>
      <c r="FS20" s="24"/>
      <c r="FT20" s="24"/>
      <c r="FU20" s="24"/>
      <c r="FV20" s="74" t="s">
        <v>81</v>
      </c>
      <c r="FW20" s="25" t="s">
        <v>82</v>
      </c>
      <c r="FX20" s="75" t="s">
        <v>83</v>
      </c>
      <c r="GA20" s="24"/>
      <c r="GB20" s="24"/>
      <c r="GC20" s="24"/>
      <c r="GD20" s="74" t="s">
        <v>81</v>
      </c>
      <c r="GE20" s="25" t="s">
        <v>82</v>
      </c>
      <c r="GF20" s="75" t="s">
        <v>83</v>
      </c>
      <c r="GI20" s="24"/>
      <c r="GJ20" s="24"/>
      <c r="GK20" s="24"/>
      <c r="GL20" s="74" t="s">
        <v>81</v>
      </c>
      <c r="GM20" s="25" t="s">
        <v>82</v>
      </c>
      <c r="GN20" s="75" t="s">
        <v>83</v>
      </c>
    </row>
    <row r="21" spans="11:196" ht="14.25">
      <c r="K21" s="32"/>
      <c r="L21" s="34"/>
      <c r="M21" s="34"/>
      <c r="N21" s="34"/>
      <c r="O21" s="34"/>
      <c r="P21" s="35"/>
      <c r="Q21" s="77"/>
      <c r="R21" s="77"/>
      <c r="S21" s="77"/>
      <c r="T21" s="77"/>
      <c r="U21" s="77"/>
      <c r="Z21" s="74" t="s">
        <v>84</v>
      </c>
      <c r="AA21" s="25" t="s">
        <v>85</v>
      </c>
      <c r="AB21" s="75" t="s">
        <v>61</v>
      </c>
      <c r="AC21" s="24"/>
      <c r="AD21" s="24"/>
      <c r="AE21" s="24"/>
      <c r="AF21" s="31"/>
      <c r="AG21" s="31"/>
      <c r="AH21" s="74" t="s">
        <v>84</v>
      </c>
      <c r="AI21" s="25" t="s">
        <v>85</v>
      </c>
      <c r="AJ21" s="75" t="s">
        <v>61</v>
      </c>
      <c r="AM21" s="24"/>
      <c r="AN21" s="31"/>
      <c r="AO21" s="31"/>
      <c r="AP21" s="74" t="s">
        <v>84</v>
      </c>
      <c r="AQ21" s="25" t="s">
        <v>85</v>
      </c>
      <c r="AR21" s="75" t="s">
        <v>61</v>
      </c>
      <c r="AU21" s="24"/>
      <c r="AV21" s="31"/>
      <c r="AW21" s="31"/>
      <c r="AX21" s="74" t="s">
        <v>84</v>
      </c>
      <c r="AY21" s="25" t="s">
        <v>85</v>
      </c>
      <c r="AZ21" s="75" t="s">
        <v>61</v>
      </c>
      <c r="BC21" s="24"/>
      <c r="BD21" s="31"/>
      <c r="BE21" s="31"/>
      <c r="BF21" s="74" t="s">
        <v>84</v>
      </c>
      <c r="BG21" s="25" t="s">
        <v>85</v>
      </c>
      <c r="BH21" s="75" t="s">
        <v>61</v>
      </c>
      <c r="BK21" s="24"/>
      <c r="BL21" s="31"/>
      <c r="BM21" s="31"/>
      <c r="BN21" s="74" t="s">
        <v>84</v>
      </c>
      <c r="BO21" s="25" t="s">
        <v>85</v>
      </c>
      <c r="BP21" s="75" t="s">
        <v>61</v>
      </c>
      <c r="BS21" s="24"/>
      <c r="BT21" s="31"/>
      <c r="BU21" s="31"/>
      <c r="BV21" s="74" t="s">
        <v>84</v>
      </c>
      <c r="BW21" s="25" t="s">
        <v>85</v>
      </c>
      <c r="BX21" s="75" t="s">
        <v>61</v>
      </c>
      <c r="CA21" s="24"/>
      <c r="CB21" s="31"/>
      <c r="CC21" s="31"/>
      <c r="CD21" s="74" t="s">
        <v>84</v>
      </c>
      <c r="CE21" s="25" t="s">
        <v>85</v>
      </c>
      <c r="CF21" s="75" t="s">
        <v>61</v>
      </c>
      <c r="CI21" s="24"/>
      <c r="CJ21" s="31"/>
      <c r="CK21" s="31"/>
      <c r="CL21" s="74" t="s">
        <v>84</v>
      </c>
      <c r="CM21" s="25" t="s">
        <v>85</v>
      </c>
      <c r="CN21" s="75" t="s">
        <v>61</v>
      </c>
      <c r="CQ21" s="24"/>
      <c r="CR21" s="31"/>
      <c r="CS21" s="31"/>
      <c r="CT21" s="74" t="s">
        <v>84</v>
      </c>
      <c r="CU21" s="25" t="s">
        <v>85</v>
      </c>
      <c r="CV21" s="75" t="s">
        <v>61</v>
      </c>
      <c r="CY21" s="24"/>
      <c r="CZ21" s="31"/>
      <c r="DA21" s="31"/>
      <c r="DB21" s="74" t="s">
        <v>84</v>
      </c>
      <c r="DC21" s="25" t="s">
        <v>85</v>
      </c>
      <c r="DD21" s="75" t="s">
        <v>61</v>
      </c>
      <c r="DG21" s="24"/>
      <c r="DH21" s="31"/>
      <c r="DI21" s="31"/>
      <c r="DJ21" s="74" t="s">
        <v>84</v>
      </c>
      <c r="DK21" s="25" t="s">
        <v>85</v>
      </c>
      <c r="DL21" s="75" t="s">
        <v>61</v>
      </c>
      <c r="DO21" s="24"/>
      <c r="DP21" s="31"/>
      <c r="DQ21" s="31"/>
      <c r="DR21" s="74" t="s">
        <v>84</v>
      </c>
      <c r="DS21" s="25" t="s">
        <v>85</v>
      </c>
      <c r="DT21" s="75" t="s">
        <v>61</v>
      </c>
      <c r="DW21" s="24"/>
      <c r="DX21" s="31"/>
      <c r="DY21" s="31"/>
      <c r="DZ21" s="74" t="s">
        <v>84</v>
      </c>
      <c r="EA21" s="25" t="s">
        <v>85</v>
      </c>
      <c r="EB21" s="75" t="s">
        <v>61</v>
      </c>
      <c r="EE21" s="24"/>
      <c r="EF21" s="31"/>
      <c r="EG21" s="31"/>
      <c r="EH21" s="74" t="s">
        <v>84</v>
      </c>
      <c r="EI21" s="25" t="s">
        <v>85</v>
      </c>
      <c r="EJ21" s="75" t="s">
        <v>61</v>
      </c>
      <c r="EM21" s="24"/>
      <c r="EN21" s="31"/>
      <c r="EO21" s="31"/>
      <c r="EP21" s="74" t="s">
        <v>84</v>
      </c>
      <c r="EQ21" s="25" t="s">
        <v>85</v>
      </c>
      <c r="ER21" s="75" t="s">
        <v>61</v>
      </c>
      <c r="EU21" s="24"/>
      <c r="EV21" s="31"/>
      <c r="EW21" s="31"/>
      <c r="EX21" s="74" t="s">
        <v>84</v>
      </c>
      <c r="EY21" s="25" t="s">
        <v>85</v>
      </c>
      <c r="EZ21" s="75" t="s">
        <v>61</v>
      </c>
      <c r="FC21" s="24"/>
      <c r="FD21" s="31"/>
      <c r="FE21" s="31"/>
      <c r="FF21" s="74" t="s">
        <v>84</v>
      </c>
      <c r="FG21" s="25" t="s">
        <v>85</v>
      </c>
      <c r="FH21" s="75" t="s">
        <v>61</v>
      </c>
      <c r="FK21" s="24"/>
      <c r="FL21" s="31"/>
      <c r="FM21" s="31"/>
      <c r="FN21" s="74" t="s">
        <v>84</v>
      </c>
      <c r="FO21" s="25" t="s">
        <v>85</v>
      </c>
      <c r="FP21" s="75" t="s">
        <v>61</v>
      </c>
      <c r="FS21" s="24"/>
      <c r="FT21" s="31"/>
      <c r="FU21" s="31"/>
      <c r="FV21" s="74" t="s">
        <v>84</v>
      </c>
      <c r="FW21" s="25" t="s">
        <v>85</v>
      </c>
      <c r="FX21" s="75" t="s">
        <v>61</v>
      </c>
      <c r="GA21" s="24"/>
      <c r="GB21" s="31"/>
      <c r="GC21" s="31"/>
      <c r="GD21" s="74" t="s">
        <v>84</v>
      </c>
      <c r="GE21" s="25" t="s">
        <v>85</v>
      </c>
      <c r="GF21" s="75" t="s">
        <v>61</v>
      </c>
      <c r="GI21" s="24"/>
      <c r="GJ21" s="31"/>
      <c r="GK21" s="31"/>
      <c r="GL21" s="74" t="s">
        <v>84</v>
      </c>
      <c r="GM21" s="25" t="s">
        <v>85</v>
      </c>
      <c r="GN21" s="75" t="s">
        <v>61</v>
      </c>
    </row>
    <row r="22" spans="1:196" ht="14.25">
      <c r="A22" s="139"/>
      <c r="B22" s="139"/>
      <c r="C22" s="139"/>
      <c r="D22" s="139"/>
      <c r="E22" s="139"/>
      <c r="F22" s="139"/>
      <c r="G22" s="139"/>
      <c r="H22" s="139"/>
      <c r="I22" s="139"/>
      <c r="K22" s="32" t="s">
        <v>86</v>
      </c>
      <c r="L22" s="34"/>
      <c r="M22" s="34"/>
      <c r="N22" s="71"/>
      <c r="O22" s="71" t="s">
        <v>66</v>
      </c>
      <c r="P22" s="35"/>
      <c r="Q22" s="77"/>
      <c r="R22" s="77"/>
      <c r="S22" s="78" t="s">
        <v>87</v>
      </c>
      <c r="T22" s="77">
        <v>3.8</v>
      </c>
      <c r="U22" s="77" t="s">
        <v>17</v>
      </c>
      <c r="Z22" s="79"/>
      <c r="AA22" s="24"/>
      <c r="AB22" s="80"/>
      <c r="AC22" s="24"/>
      <c r="AD22" s="24"/>
      <c r="AE22" s="24"/>
      <c r="AF22" s="24"/>
      <c r="AG22" s="24"/>
      <c r="AH22" s="79"/>
      <c r="AI22" s="24"/>
      <c r="AJ22" s="80"/>
      <c r="AM22" s="24"/>
      <c r="AN22" s="24"/>
      <c r="AO22" s="24"/>
      <c r="AP22" s="79"/>
      <c r="AQ22" s="24"/>
      <c r="AR22" s="80"/>
      <c r="AU22" s="24"/>
      <c r="AV22" s="24"/>
      <c r="AW22" s="24"/>
      <c r="AX22" s="79"/>
      <c r="AY22" s="24"/>
      <c r="AZ22" s="80"/>
      <c r="BC22" s="24"/>
      <c r="BD22" s="24"/>
      <c r="BE22" s="24"/>
      <c r="BF22" s="79"/>
      <c r="BG22" s="24"/>
      <c r="BH22" s="80"/>
      <c r="BK22" s="24"/>
      <c r="BL22" s="24"/>
      <c r="BM22" s="24"/>
      <c r="BN22" s="79"/>
      <c r="BO22" s="24"/>
      <c r="BP22" s="80"/>
      <c r="BS22" s="24"/>
      <c r="BT22" s="24"/>
      <c r="BU22" s="24"/>
      <c r="BV22" s="79"/>
      <c r="BW22" s="24"/>
      <c r="BX22" s="80"/>
      <c r="CA22" s="24"/>
      <c r="CB22" s="24"/>
      <c r="CC22" s="24"/>
      <c r="CD22" s="79"/>
      <c r="CE22" s="24"/>
      <c r="CF22" s="80"/>
      <c r="CI22" s="24"/>
      <c r="CJ22" s="24"/>
      <c r="CK22" s="24"/>
      <c r="CL22" s="79"/>
      <c r="CM22" s="24"/>
      <c r="CN22" s="80"/>
      <c r="CQ22" s="24"/>
      <c r="CR22" s="24"/>
      <c r="CS22" s="24"/>
      <c r="CT22" s="79"/>
      <c r="CU22" s="24"/>
      <c r="CV22" s="80"/>
      <c r="CY22" s="24"/>
      <c r="CZ22" s="24"/>
      <c r="DA22" s="24"/>
      <c r="DB22" s="79"/>
      <c r="DC22" s="24"/>
      <c r="DD22" s="80"/>
      <c r="DG22" s="24"/>
      <c r="DH22" s="24"/>
      <c r="DI22" s="24"/>
      <c r="DJ22" s="79"/>
      <c r="DK22" s="24"/>
      <c r="DL22" s="80"/>
      <c r="DO22" s="24"/>
      <c r="DP22" s="24"/>
      <c r="DQ22" s="24"/>
      <c r="DR22" s="79"/>
      <c r="DS22" s="24"/>
      <c r="DT22" s="80"/>
      <c r="DW22" s="24"/>
      <c r="DX22" s="24"/>
      <c r="DY22" s="24"/>
      <c r="DZ22" s="79"/>
      <c r="EA22" s="24"/>
      <c r="EB22" s="80"/>
      <c r="EE22" s="24"/>
      <c r="EF22" s="24"/>
      <c r="EG22" s="24"/>
      <c r="EH22" s="79"/>
      <c r="EI22" s="24"/>
      <c r="EJ22" s="80"/>
      <c r="EM22" s="24"/>
      <c r="EN22" s="24"/>
      <c r="EO22" s="24"/>
      <c r="EP22" s="79"/>
      <c r="EQ22" s="24"/>
      <c r="ER22" s="80"/>
      <c r="EU22" s="24"/>
      <c r="EV22" s="24"/>
      <c r="EW22" s="24"/>
      <c r="EX22" s="79"/>
      <c r="EY22" s="24"/>
      <c r="EZ22" s="80"/>
      <c r="FC22" s="24"/>
      <c r="FD22" s="24"/>
      <c r="FE22" s="24"/>
      <c r="FF22" s="79"/>
      <c r="FG22" s="24"/>
      <c r="FH22" s="80"/>
      <c r="FK22" s="24"/>
      <c r="FL22" s="24"/>
      <c r="FM22" s="24"/>
      <c r="FN22" s="79"/>
      <c r="FO22" s="24"/>
      <c r="FP22" s="80"/>
      <c r="FS22" s="24"/>
      <c r="FT22" s="24"/>
      <c r="FU22" s="24"/>
      <c r="FV22" s="79"/>
      <c r="FW22" s="24"/>
      <c r="FX22" s="80"/>
      <c r="GA22" s="24"/>
      <c r="GB22" s="24"/>
      <c r="GC22" s="24"/>
      <c r="GD22" s="79"/>
      <c r="GE22" s="24"/>
      <c r="GF22" s="80"/>
      <c r="GI22" s="24"/>
      <c r="GJ22" s="24"/>
      <c r="GK22" s="24"/>
      <c r="GL22" s="79"/>
      <c r="GM22" s="24"/>
      <c r="GN22" s="80"/>
    </row>
    <row r="23" spans="1:196" ht="14.25">
      <c r="A23" s="139" t="s">
        <v>93</v>
      </c>
      <c r="B23" s="139"/>
      <c r="C23" s="139"/>
      <c r="D23" s="140"/>
      <c r="E23" s="139"/>
      <c r="F23" s="140"/>
      <c r="G23" s="139"/>
      <c r="H23" s="139"/>
      <c r="I23" s="141"/>
      <c r="K23" s="46" t="s">
        <v>68</v>
      </c>
      <c r="L23" s="34" t="s">
        <v>71</v>
      </c>
      <c r="M23" s="34"/>
      <c r="N23" s="71" t="s">
        <v>67</v>
      </c>
      <c r="O23" s="71" t="s">
        <v>67</v>
      </c>
      <c r="P23" s="35"/>
      <c r="Q23" s="77"/>
      <c r="R23" s="77"/>
      <c r="S23" s="78" t="s">
        <v>88</v>
      </c>
      <c r="T23" s="69" t="e">
        <f>P8</f>
        <v>#N/A</v>
      </c>
      <c r="U23" s="77" t="s">
        <v>89</v>
      </c>
      <c r="W23" s="24"/>
      <c r="X23" s="24"/>
      <c r="Z23" s="81" t="e">
        <f>($O$30*0.85)*AC14*0.227</f>
        <v>#DIV/0!</v>
      </c>
      <c r="AA23" s="66" t="e">
        <f>$K$56*$L$56</f>
        <v>#DIV/0!</v>
      </c>
      <c r="AB23" s="82" t="e">
        <f>AC14*AA23*0.227</f>
        <v>#N/A</v>
      </c>
      <c r="AC23" s="24"/>
      <c r="AD23" s="24"/>
      <c r="AE23" s="24"/>
      <c r="AF23" s="24"/>
      <c r="AG23" s="24"/>
      <c r="AH23" s="81" t="e">
        <f>($O$30*0.85)*AK14*0.227</f>
        <v>#DIV/0!</v>
      </c>
      <c r="AI23" s="66" t="e">
        <f>$K$56*$L$56</f>
        <v>#DIV/0!</v>
      </c>
      <c r="AJ23" s="82" t="e">
        <f>AK14*AI23*0.227</f>
        <v>#N/A</v>
      </c>
      <c r="AM23" s="24"/>
      <c r="AN23" s="24"/>
      <c r="AO23" s="24"/>
      <c r="AP23" s="81" t="e">
        <f>($O$30*0.85)*AS14*0.227</f>
        <v>#DIV/0!</v>
      </c>
      <c r="AQ23" s="66" t="e">
        <f>$K$56*$L$56</f>
        <v>#DIV/0!</v>
      </c>
      <c r="AR23" s="82" t="e">
        <f>AS14*AQ23*0.227</f>
        <v>#N/A</v>
      </c>
      <c r="AU23" s="24"/>
      <c r="AV23" s="24"/>
      <c r="AW23" s="24"/>
      <c r="AX23" s="81" t="e">
        <f>($O$30*0.85)*BA14*0.227</f>
        <v>#DIV/0!</v>
      </c>
      <c r="AY23" s="66" t="e">
        <f>$K$56*$L$56</f>
        <v>#DIV/0!</v>
      </c>
      <c r="AZ23" s="82" t="e">
        <f>BA14*AY23*0.227</f>
        <v>#N/A</v>
      </c>
      <c r="BC23" s="24"/>
      <c r="BD23" s="24"/>
      <c r="BE23" s="24"/>
      <c r="BF23" s="81" t="e">
        <f>($O$30*0.85)*BI14*0.227</f>
        <v>#DIV/0!</v>
      </c>
      <c r="BG23" s="66" t="e">
        <f>$K$56*$L$56</f>
        <v>#DIV/0!</v>
      </c>
      <c r="BH23" s="82" t="e">
        <f>BI14*BG23*0.227</f>
        <v>#N/A</v>
      </c>
      <c r="BK23" s="24"/>
      <c r="BL23" s="24"/>
      <c r="BM23" s="24"/>
      <c r="BN23" s="81" t="e">
        <f>($O$30*0.85)*BQ14*0.227</f>
        <v>#DIV/0!</v>
      </c>
      <c r="BO23" s="66" t="e">
        <f>$K$56*$L$56</f>
        <v>#DIV/0!</v>
      </c>
      <c r="BP23" s="82" t="e">
        <f>BQ14*BO23*0.227</f>
        <v>#N/A</v>
      </c>
      <c r="BS23" s="24"/>
      <c r="BT23" s="24"/>
      <c r="BU23" s="24"/>
      <c r="BV23" s="81" t="e">
        <f>($O$30*0.85)*BY14*0.227</f>
        <v>#DIV/0!</v>
      </c>
      <c r="BW23" s="66" t="e">
        <f>$K$56*$L$56</f>
        <v>#DIV/0!</v>
      </c>
      <c r="BX23" s="82" t="e">
        <f>BY14*BW23*0.227</f>
        <v>#N/A</v>
      </c>
      <c r="CA23" s="24"/>
      <c r="CB23" s="24"/>
      <c r="CC23" s="24"/>
      <c r="CD23" s="81" t="e">
        <f>($O$30*0.85)*CG14*0.227</f>
        <v>#DIV/0!</v>
      </c>
      <c r="CE23" s="66" t="e">
        <f>$K$56*$L$56</f>
        <v>#DIV/0!</v>
      </c>
      <c r="CF23" s="82" t="e">
        <f>CG14*CE23*0.227</f>
        <v>#N/A</v>
      </c>
      <c r="CI23" s="24"/>
      <c r="CJ23" s="24"/>
      <c r="CK23" s="24"/>
      <c r="CL23" s="81" t="e">
        <f>($O$30*0.85)*CO14*0.227</f>
        <v>#DIV/0!</v>
      </c>
      <c r="CM23" s="66" t="e">
        <f>$K$56*$L$56</f>
        <v>#DIV/0!</v>
      </c>
      <c r="CN23" s="82" t="e">
        <f>CO14*CM23*0.227</f>
        <v>#N/A</v>
      </c>
      <c r="CQ23" s="24"/>
      <c r="CR23" s="24"/>
      <c r="CS23" s="24"/>
      <c r="CT23" s="81" t="e">
        <f>($O$30*0.85)*CW14*0.227</f>
        <v>#DIV/0!</v>
      </c>
      <c r="CU23" s="66" t="e">
        <f>$K$56*$L$56</f>
        <v>#DIV/0!</v>
      </c>
      <c r="CV23" s="82" t="e">
        <f>CW14*CU23*0.227</f>
        <v>#N/A</v>
      </c>
      <c r="CY23" s="24"/>
      <c r="CZ23" s="24"/>
      <c r="DA23" s="24"/>
      <c r="DB23" s="81" t="e">
        <f>($O$30*0.85)*DE14*0.227</f>
        <v>#DIV/0!</v>
      </c>
      <c r="DC23" s="66" t="e">
        <f>$K$56*$L$56</f>
        <v>#DIV/0!</v>
      </c>
      <c r="DD23" s="82" t="e">
        <f>DE14*DC23*0.227</f>
        <v>#N/A</v>
      </c>
      <c r="DG23" s="24"/>
      <c r="DH23" s="24"/>
      <c r="DI23" s="24"/>
      <c r="DJ23" s="81" t="e">
        <f>($O$30*0.85)*DM14*0.227</f>
        <v>#DIV/0!</v>
      </c>
      <c r="DK23" s="66" t="e">
        <f>$K$56*$L$56</f>
        <v>#DIV/0!</v>
      </c>
      <c r="DL23" s="82" t="e">
        <f>DM14*DK23*0.227</f>
        <v>#N/A</v>
      </c>
      <c r="DO23" s="24"/>
      <c r="DP23" s="24"/>
      <c r="DQ23" s="24"/>
      <c r="DR23" s="81" t="e">
        <f>($O$30*0.85)*DU14*0.227</f>
        <v>#DIV/0!</v>
      </c>
      <c r="DS23" s="66" t="e">
        <f>$K$56*$L$56</f>
        <v>#DIV/0!</v>
      </c>
      <c r="DT23" s="82" t="e">
        <f>DU14*DS23*0.227</f>
        <v>#N/A</v>
      </c>
      <c r="DW23" s="24"/>
      <c r="DX23" s="24"/>
      <c r="DY23" s="24"/>
      <c r="DZ23" s="81" t="e">
        <f>($O$30*0.85)*EC14*0.227</f>
        <v>#DIV/0!</v>
      </c>
      <c r="EA23" s="66" t="e">
        <f>$K$56*$L$56</f>
        <v>#DIV/0!</v>
      </c>
      <c r="EB23" s="82" t="e">
        <f>EC14*EA23*0.227</f>
        <v>#N/A</v>
      </c>
      <c r="EE23" s="24"/>
      <c r="EF23" s="24"/>
      <c r="EG23" s="24"/>
      <c r="EH23" s="81" t="e">
        <f>($O$30*0.85)*EK14*0.227</f>
        <v>#DIV/0!</v>
      </c>
      <c r="EI23" s="66" t="e">
        <f>$K$56*$L$56</f>
        <v>#DIV/0!</v>
      </c>
      <c r="EJ23" s="82" t="e">
        <f>EK14*EI23*0.227</f>
        <v>#N/A</v>
      </c>
      <c r="EM23" s="24"/>
      <c r="EN23" s="24"/>
      <c r="EO23" s="24"/>
      <c r="EP23" s="81" t="e">
        <f>($O$30*0.85)*ES14*0.227</f>
        <v>#DIV/0!</v>
      </c>
      <c r="EQ23" s="66" t="e">
        <f>$K$56*$L$56</f>
        <v>#DIV/0!</v>
      </c>
      <c r="ER23" s="82" t="e">
        <f>ES14*EQ23*0.227</f>
        <v>#N/A</v>
      </c>
      <c r="EU23" s="24"/>
      <c r="EV23" s="24"/>
      <c r="EW23" s="24"/>
      <c r="EX23" s="81" t="e">
        <f>($O$30*0.85)*FA14*0.227</f>
        <v>#DIV/0!</v>
      </c>
      <c r="EY23" s="66" t="e">
        <f>$K$56*$L$56</f>
        <v>#DIV/0!</v>
      </c>
      <c r="EZ23" s="82" t="e">
        <f>FA14*EY23*0.227</f>
        <v>#N/A</v>
      </c>
      <c r="FC23" s="24"/>
      <c r="FD23" s="24"/>
      <c r="FE23" s="24"/>
      <c r="FF23" s="81" t="e">
        <f>($O$30*0.85)*FI14*0.227</f>
        <v>#DIV/0!</v>
      </c>
      <c r="FG23" s="66" t="e">
        <f>$K$56*$L$56</f>
        <v>#DIV/0!</v>
      </c>
      <c r="FH23" s="82" t="e">
        <f>FI14*FG23*0.227</f>
        <v>#N/A</v>
      </c>
      <c r="FK23" s="24"/>
      <c r="FL23" s="24"/>
      <c r="FM23" s="24"/>
      <c r="FN23" s="81" t="e">
        <f>($O$30*0.85)*FQ14*0.227</f>
        <v>#DIV/0!</v>
      </c>
      <c r="FO23" s="66" t="e">
        <f>$K$56*$L$56</f>
        <v>#DIV/0!</v>
      </c>
      <c r="FP23" s="82" t="e">
        <f>FQ14*FO23*0.227</f>
        <v>#N/A</v>
      </c>
      <c r="FS23" s="24"/>
      <c r="FT23" s="24"/>
      <c r="FU23" s="24"/>
      <c r="FV23" s="81" t="e">
        <f>($O$30*0.85)*FY14*0.227</f>
        <v>#DIV/0!</v>
      </c>
      <c r="FW23" s="66" t="e">
        <f>$K$56*$L$56</f>
        <v>#DIV/0!</v>
      </c>
      <c r="FX23" s="82" t="e">
        <f>FY14*FW23*0.227</f>
        <v>#N/A</v>
      </c>
      <c r="GA23" s="24"/>
      <c r="GB23" s="24"/>
      <c r="GC23" s="24"/>
      <c r="GD23" s="81" t="e">
        <f>($O$30*0.85)*GG14*0.227</f>
        <v>#DIV/0!</v>
      </c>
      <c r="GE23" s="66" t="e">
        <f>$K$56*$L$56</f>
        <v>#DIV/0!</v>
      </c>
      <c r="GF23" s="82" t="e">
        <f>GG14*GE23*0.227</f>
        <v>#N/A</v>
      </c>
      <c r="GI23" s="24"/>
      <c r="GJ23" s="24"/>
      <c r="GK23" s="24"/>
      <c r="GL23" s="81" t="e">
        <f>($O$30*0.85)*GO14*0.227</f>
        <v>#DIV/0!</v>
      </c>
      <c r="GM23" s="66" t="e">
        <f>$K$56*$L$56</f>
        <v>#DIV/0!</v>
      </c>
      <c r="GN23" s="82" t="e">
        <f>GO14*GM23*0.227</f>
        <v>#N/A</v>
      </c>
    </row>
    <row r="24" spans="1:195" ht="14.25">
      <c r="A24" s="139"/>
      <c r="B24" s="139"/>
      <c r="C24" s="142" t="s">
        <v>96</v>
      </c>
      <c r="D24" s="143"/>
      <c r="E24" s="139" t="s">
        <v>4</v>
      </c>
      <c r="F24" s="143"/>
      <c r="G24" s="139" t="s">
        <v>4</v>
      </c>
      <c r="H24" s="139"/>
      <c r="I24" s="141"/>
      <c r="K24" s="46" t="s">
        <v>75</v>
      </c>
      <c r="L24" s="34">
        <v>1400</v>
      </c>
      <c r="M24" s="34" t="str">
        <f>IF($E$17=1,E16," ")</f>
        <v> </v>
      </c>
      <c r="N24" s="34">
        <v>0.92</v>
      </c>
      <c r="O24" s="49" t="str">
        <f>IF($E$17=1,N24*($E$18/L24)," ")</f>
        <v> </v>
      </c>
      <c r="P24" s="50">
        <f>IF($E$17=1,O24*M24,0)</f>
        <v>0</v>
      </c>
      <c r="Q24" s="77"/>
      <c r="R24" s="77"/>
      <c r="S24" s="77"/>
      <c r="T24" s="77"/>
      <c r="U24" s="77"/>
      <c r="Y24" s="24"/>
      <c r="Z24" s="83" t="e">
        <f>Z23</f>
        <v>#DIV/0!</v>
      </c>
      <c r="AB24" s="24"/>
      <c r="AC24" s="24"/>
      <c r="AD24" s="24"/>
      <c r="AE24" s="31"/>
      <c r="AF24" s="31"/>
      <c r="AG24" s="24"/>
      <c r="AH24" s="31" t="e">
        <f>Z24+AH23</f>
        <v>#DIV/0!</v>
      </c>
      <c r="AI24" s="24"/>
      <c r="AM24" s="31"/>
      <c r="AN24" s="31"/>
      <c r="AO24" s="24"/>
      <c r="AP24" s="31" t="e">
        <f>AH24+AP23</f>
        <v>#DIV/0!</v>
      </c>
      <c r="AQ24" s="24"/>
      <c r="AU24" s="31"/>
      <c r="AV24" s="31"/>
      <c r="AW24" s="24"/>
      <c r="AX24" s="31" t="e">
        <f>AP24+AX23</f>
        <v>#DIV/0!</v>
      </c>
      <c r="AY24" s="24"/>
      <c r="BC24" s="31"/>
      <c r="BD24" s="31"/>
      <c r="BE24" s="24"/>
      <c r="BF24" s="31" t="e">
        <f>AX24+BF23</f>
        <v>#DIV/0!</v>
      </c>
      <c r="BG24" s="24"/>
      <c r="BK24" s="31"/>
      <c r="BL24" s="31"/>
      <c r="BM24" s="24"/>
      <c r="BN24" s="31" t="e">
        <f>BF24+BN23</f>
        <v>#DIV/0!</v>
      </c>
      <c r="BO24" s="24"/>
      <c r="BS24" s="31"/>
      <c r="BT24" s="31"/>
      <c r="BU24" s="24"/>
      <c r="BV24" s="31" t="e">
        <f>BN24+BV23</f>
        <v>#DIV/0!</v>
      </c>
      <c r="BW24" s="24"/>
      <c r="CA24" s="31"/>
      <c r="CB24" s="31"/>
      <c r="CC24" s="24"/>
      <c r="CD24" s="31" t="e">
        <f>BV24+CD23</f>
        <v>#DIV/0!</v>
      </c>
      <c r="CE24" s="24"/>
      <c r="CI24" s="31"/>
      <c r="CJ24" s="31"/>
      <c r="CK24" s="24"/>
      <c r="CL24" s="31" t="e">
        <f>CD24+CL23</f>
        <v>#DIV/0!</v>
      </c>
      <c r="CM24" s="24"/>
      <c r="CQ24" s="31"/>
      <c r="CR24" s="31"/>
      <c r="CS24" s="24"/>
      <c r="CT24" s="31" t="e">
        <f>CL24+CT23</f>
        <v>#DIV/0!</v>
      </c>
      <c r="CU24" s="24"/>
      <c r="CY24" s="31"/>
      <c r="CZ24" s="31"/>
      <c r="DA24" s="24"/>
      <c r="DB24" s="31" t="e">
        <f>CT24+DB23</f>
        <v>#DIV/0!</v>
      </c>
      <c r="DC24" s="24"/>
      <c r="DG24" s="31"/>
      <c r="DH24" s="31"/>
      <c r="DI24" s="24"/>
      <c r="DJ24" s="31" t="e">
        <f>DB24+DJ23</f>
        <v>#DIV/0!</v>
      </c>
      <c r="DK24" s="24"/>
      <c r="DO24" s="31"/>
      <c r="DP24" s="31"/>
      <c r="DQ24" s="24"/>
      <c r="DR24" s="31" t="e">
        <f>DJ24+DR23</f>
        <v>#DIV/0!</v>
      </c>
      <c r="DS24" s="24"/>
      <c r="DW24" s="31"/>
      <c r="DX24" s="31"/>
      <c r="DY24" s="24"/>
      <c r="DZ24" s="31" t="e">
        <f>DR24+DZ23</f>
        <v>#DIV/0!</v>
      </c>
      <c r="EA24" s="24"/>
      <c r="EE24" s="31"/>
      <c r="EF24" s="31"/>
      <c r="EG24" s="24"/>
      <c r="EH24" s="31" t="e">
        <f>DZ24+EH23</f>
        <v>#DIV/0!</v>
      </c>
      <c r="EI24" s="24"/>
      <c r="EM24" s="31"/>
      <c r="EN24" s="31"/>
      <c r="EO24" s="24"/>
      <c r="EP24" s="31" t="e">
        <f>EH24+EP23</f>
        <v>#DIV/0!</v>
      </c>
      <c r="EQ24" s="24"/>
      <c r="EU24" s="31"/>
      <c r="EV24" s="31"/>
      <c r="EW24" s="24"/>
      <c r="EX24" s="31" t="e">
        <f>EP24+EX23</f>
        <v>#DIV/0!</v>
      </c>
      <c r="EY24" s="24"/>
      <c r="FC24" s="31"/>
      <c r="FD24" s="31"/>
      <c r="FE24" s="24"/>
      <c r="FF24" s="31" t="e">
        <f>EX24+FF23</f>
        <v>#DIV/0!</v>
      </c>
      <c r="FG24" s="24"/>
      <c r="FK24" s="31"/>
      <c r="FL24" s="31"/>
      <c r="FM24" s="24"/>
      <c r="FN24" s="31" t="e">
        <f>FF24+FN23</f>
        <v>#DIV/0!</v>
      </c>
      <c r="FO24" s="24"/>
      <c r="FS24" s="31"/>
      <c r="FT24" s="31"/>
      <c r="FU24" s="24"/>
      <c r="FV24" s="31" t="e">
        <f>FN24+FV23</f>
        <v>#DIV/0!</v>
      </c>
      <c r="FW24" s="24"/>
      <c r="GA24" s="31"/>
      <c r="GB24" s="31"/>
      <c r="GC24" s="24"/>
      <c r="GD24" s="31" t="e">
        <f>FV24+GD23</f>
        <v>#DIV/0!</v>
      </c>
      <c r="GE24" s="24"/>
      <c r="GI24" s="31"/>
      <c r="GJ24" s="31"/>
      <c r="GK24" s="24"/>
      <c r="GL24" s="31" t="e">
        <f>GD24+GL23</f>
        <v>#DIV/0!</v>
      </c>
      <c r="GM24" s="24"/>
    </row>
    <row r="25" spans="1:197" ht="14.25">
      <c r="A25" s="139"/>
      <c r="B25" s="139"/>
      <c r="C25" s="142" t="s">
        <v>97</v>
      </c>
      <c r="D25" s="117"/>
      <c r="E25" s="139"/>
      <c r="F25" s="117"/>
      <c r="G25" s="139"/>
      <c r="H25" s="243" t="s">
        <v>743</v>
      </c>
      <c r="I25" s="245"/>
      <c r="K25" s="46" t="s">
        <v>20</v>
      </c>
      <c r="L25" s="34">
        <v>1000</v>
      </c>
      <c r="M25" s="34" t="str">
        <f>IF($E$17=2,E16," ")</f>
        <v> </v>
      </c>
      <c r="N25" s="34">
        <v>1</v>
      </c>
      <c r="O25" s="49" t="str">
        <f>IF($E$17=2,N25*($E$18/L25)," ")</f>
        <v> </v>
      </c>
      <c r="P25" s="50">
        <f>IF($E$17=2,O25*M25,0)</f>
        <v>0</v>
      </c>
      <c r="Q25" s="77"/>
      <c r="R25" s="77"/>
      <c r="S25" s="78" t="s">
        <v>90</v>
      </c>
      <c r="T25" s="84" t="e">
        <f>M61</f>
        <v>#DIV/0!</v>
      </c>
      <c r="U25" s="77" t="s">
        <v>22</v>
      </c>
      <c r="Y25" s="24"/>
      <c r="AB25" s="24"/>
      <c r="AC25" s="24"/>
      <c r="AD25" s="24"/>
      <c r="AE25" s="24"/>
      <c r="AF25" s="24"/>
      <c r="AG25" s="24"/>
      <c r="AH25" s="24"/>
      <c r="AI25" s="73" t="s">
        <v>91</v>
      </c>
      <c r="AJ25" s="83" t="e">
        <f>AB23+AJ23</f>
        <v>#N/A</v>
      </c>
      <c r="AK25" s="17" t="s">
        <v>92</v>
      </c>
      <c r="AM25" s="24"/>
      <c r="AN25" s="24"/>
      <c r="AO25" s="24"/>
      <c r="AP25" s="24"/>
      <c r="AQ25" s="73" t="s">
        <v>91</v>
      </c>
      <c r="AR25" s="83" t="e">
        <f>AJ25+AR23</f>
        <v>#N/A</v>
      </c>
      <c r="AS25" s="17" t="s">
        <v>92</v>
      </c>
      <c r="AU25" s="24"/>
      <c r="AV25" s="24"/>
      <c r="AW25" s="24"/>
      <c r="AX25" s="24"/>
      <c r="AY25" s="73" t="s">
        <v>91</v>
      </c>
      <c r="AZ25" s="83" t="e">
        <f>AR25+AZ23</f>
        <v>#N/A</v>
      </c>
      <c r="BA25" s="17" t="s">
        <v>92</v>
      </c>
      <c r="BC25" s="24"/>
      <c r="BD25" s="24"/>
      <c r="BE25" s="24"/>
      <c r="BF25" s="24"/>
      <c r="BG25" s="73" t="s">
        <v>91</v>
      </c>
      <c r="BH25" s="83" t="e">
        <f>AZ25+BH23</f>
        <v>#N/A</v>
      </c>
      <c r="BI25" s="17" t="s">
        <v>92</v>
      </c>
      <c r="BK25" s="24"/>
      <c r="BL25" s="24"/>
      <c r="BM25" s="24"/>
      <c r="BN25" s="24"/>
      <c r="BO25" s="73" t="s">
        <v>91</v>
      </c>
      <c r="BP25" s="83" t="e">
        <f>BH25+BP23</f>
        <v>#N/A</v>
      </c>
      <c r="BQ25" s="17" t="s">
        <v>92</v>
      </c>
      <c r="BS25" s="24"/>
      <c r="BT25" s="24"/>
      <c r="BU25" s="24"/>
      <c r="BV25" s="24"/>
      <c r="BW25" s="73" t="s">
        <v>91</v>
      </c>
      <c r="BX25" s="83" t="e">
        <f>BP25+BX23</f>
        <v>#N/A</v>
      </c>
      <c r="BY25" s="17" t="s">
        <v>92</v>
      </c>
      <c r="CA25" s="24"/>
      <c r="CB25" s="24"/>
      <c r="CC25" s="24"/>
      <c r="CD25" s="24"/>
      <c r="CE25" s="73" t="s">
        <v>91</v>
      </c>
      <c r="CF25" s="83" t="e">
        <f>BX25+CF23</f>
        <v>#N/A</v>
      </c>
      <c r="CG25" s="17" t="s">
        <v>92</v>
      </c>
      <c r="CI25" s="24"/>
      <c r="CJ25" s="24"/>
      <c r="CK25" s="24"/>
      <c r="CL25" s="24"/>
      <c r="CM25" s="73" t="s">
        <v>91</v>
      </c>
      <c r="CN25" s="83" t="e">
        <f>CF25+CN23</f>
        <v>#N/A</v>
      </c>
      <c r="CO25" s="17" t="s">
        <v>92</v>
      </c>
      <c r="CQ25" s="24"/>
      <c r="CR25" s="24"/>
      <c r="CS25" s="24"/>
      <c r="CT25" s="24"/>
      <c r="CU25" s="73" t="s">
        <v>91</v>
      </c>
      <c r="CV25" s="83" t="e">
        <f>CN25+CV23</f>
        <v>#N/A</v>
      </c>
      <c r="CW25" s="17" t="s">
        <v>92</v>
      </c>
      <c r="CY25" s="24"/>
      <c r="CZ25" s="24"/>
      <c r="DA25" s="24"/>
      <c r="DB25" s="24"/>
      <c r="DC25" s="73" t="s">
        <v>91</v>
      </c>
      <c r="DD25" s="83" t="e">
        <f>CV25+DD23</f>
        <v>#N/A</v>
      </c>
      <c r="DE25" s="17" t="s">
        <v>92</v>
      </c>
      <c r="DG25" s="24"/>
      <c r="DH25" s="24"/>
      <c r="DI25" s="24"/>
      <c r="DJ25" s="24"/>
      <c r="DK25" s="73" t="s">
        <v>91</v>
      </c>
      <c r="DL25" s="83" t="e">
        <f>DD25+DL23</f>
        <v>#N/A</v>
      </c>
      <c r="DM25" s="17" t="s">
        <v>92</v>
      </c>
      <c r="DO25" s="24"/>
      <c r="DP25" s="24"/>
      <c r="DQ25" s="24"/>
      <c r="DR25" s="24"/>
      <c r="DS25" s="73" t="s">
        <v>91</v>
      </c>
      <c r="DT25" s="83" t="e">
        <f>DL25+DT23</f>
        <v>#N/A</v>
      </c>
      <c r="DU25" s="17" t="s">
        <v>92</v>
      </c>
      <c r="DW25" s="24"/>
      <c r="DX25" s="24"/>
      <c r="DY25" s="24"/>
      <c r="DZ25" s="24"/>
      <c r="EA25" s="73" t="s">
        <v>91</v>
      </c>
      <c r="EB25" s="83" t="e">
        <f>DT25+EB23</f>
        <v>#N/A</v>
      </c>
      <c r="EC25" s="17" t="s">
        <v>92</v>
      </c>
      <c r="EE25" s="24"/>
      <c r="EF25" s="24"/>
      <c r="EG25" s="24"/>
      <c r="EH25" s="24"/>
      <c r="EI25" s="73" t="s">
        <v>91</v>
      </c>
      <c r="EJ25" s="83" t="e">
        <f>EB25+EJ23</f>
        <v>#N/A</v>
      </c>
      <c r="EK25" s="17" t="s">
        <v>92</v>
      </c>
      <c r="EM25" s="24"/>
      <c r="EN25" s="24"/>
      <c r="EO25" s="24"/>
      <c r="EP25" s="24"/>
      <c r="EQ25" s="73" t="s">
        <v>91</v>
      </c>
      <c r="ER25" s="83" t="e">
        <f>EJ25+ER23</f>
        <v>#N/A</v>
      </c>
      <c r="ES25" s="17" t="s">
        <v>92</v>
      </c>
      <c r="EU25" s="24"/>
      <c r="EV25" s="24"/>
      <c r="EW25" s="24"/>
      <c r="EX25" s="24"/>
      <c r="EY25" s="73" t="s">
        <v>91</v>
      </c>
      <c r="EZ25" s="83" t="e">
        <f>ER25+EZ23</f>
        <v>#N/A</v>
      </c>
      <c r="FA25" s="17" t="s">
        <v>92</v>
      </c>
      <c r="FC25" s="24"/>
      <c r="FD25" s="24"/>
      <c r="FE25" s="24"/>
      <c r="FF25" s="24"/>
      <c r="FG25" s="73" t="s">
        <v>91</v>
      </c>
      <c r="FH25" s="83" t="e">
        <f>EZ25+FH23</f>
        <v>#N/A</v>
      </c>
      <c r="FI25" s="17" t="s">
        <v>92</v>
      </c>
      <c r="FK25" s="24"/>
      <c r="FL25" s="24"/>
      <c r="FM25" s="24"/>
      <c r="FN25" s="24"/>
      <c r="FO25" s="73" t="s">
        <v>91</v>
      </c>
      <c r="FP25" s="83" t="e">
        <f>FH25+FP23</f>
        <v>#N/A</v>
      </c>
      <c r="FQ25" s="17" t="s">
        <v>92</v>
      </c>
      <c r="FS25" s="24"/>
      <c r="FT25" s="24"/>
      <c r="FU25" s="24"/>
      <c r="FV25" s="24"/>
      <c r="FW25" s="73" t="s">
        <v>91</v>
      </c>
      <c r="FX25" s="83" t="e">
        <f>FP25+FX23</f>
        <v>#N/A</v>
      </c>
      <c r="FY25" s="17" t="s">
        <v>92</v>
      </c>
      <c r="GA25" s="24"/>
      <c r="GB25" s="24"/>
      <c r="GC25" s="24"/>
      <c r="GD25" s="24"/>
      <c r="GE25" s="73" t="s">
        <v>91</v>
      </c>
      <c r="GF25" s="83" t="e">
        <f>FX25+GF23</f>
        <v>#N/A</v>
      </c>
      <c r="GG25" s="17" t="s">
        <v>92</v>
      </c>
      <c r="GI25" s="24"/>
      <c r="GJ25" s="24"/>
      <c r="GK25" s="24"/>
      <c r="GL25" s="24"/>
      <c r="GM25" s="73" t="s">
        <v>91</v>
      </c>
      <c r="GN25" s="83" t="e">
        <f>GF25+GN23</f>
        <v>#N/A</v>
      </c>
      <c r="GO25" s="17" t="s">
        <v>92</v>
      </c>
    </row>
    <row r="26" spans="1:32" ht="14.25">
      <c r="A26" s="139"/>
      <c r="B26" s="139"/>
      <c r="C26" s="139"/>
      <c r="D26" s="139"/>
      <c r="E26" s="139"/>
      <c r="F26" s="139"/>
      <c r="G26" s="139"/>
      <c r="H26" s="258" t="s">
        <v>744</v>
      </c>
      <c r="I26" s="170"/>
      <c r="K26" s="36"/>
      <c r="L26" s="38"/>
      <c r="M26" s="38"/>
      <c r="N26" s="38"/>
      <c r="O26" s="61"/>
      <c r="P26" s="62"/>
      <c r="Q26" s="77"/>
      <c r="R26" s="77"/>
      <c r="S26" s="77"/>
      <c r="T26" s="77"/>
      <c r="U26" s="77"/>
      <c r="AA26" s="24"/>
      <c r="AB26" s="24"/>
      <c r="AC26" s="24"/>
      <c r="AD26" s="24"/>
      <c r="AE26" s="24"/>
      <c r="AF26" s="24"/>
    </row>
    <row r="27" spans="1:32" ht="14.25">
      <c r="A27" s="141"/>
      <c r="B27" s="141"/>
      <c r="C27" s="184" t="s">
        <v>103</v>
      </c>
      <c r="D27" s="116"/>
      <c r="E27" s="141" t="s">
        <v>4</v>
      </c>
      <c r="F27" s="141"/>
      <c r="G27" s="139"/>
      <c r="H27" s="139"/>
      <c r="I27" s="139"/>
      <c r="K27" s="23"/>
      <c r="L27" s="23"/>
      <c r="M27" s="23"/>
      <c r="N27" s="23"/>
      <c r="O27" s="23" t="s">
        <v>94</v>
      </c>
      <c r="P27" s="68">
        <f>SUM(P18:P26)</f>
        <v>0</v>
      </c>
      <c r="Q27" s="77"/>
      <c r="R27" s="77"/>
      <c r="S27" s="78" t="s">
        <v>95</v>
      </c>
      <c r="T27" s="85" t="e">
        <f>M44</f>
        <v>#DIV/0!</v>
      </c>
      <c r="U27" s="77" t="s">
        <v>22</v>
      </c>
      <c r="AA27" s="24"/>
      <c r="AB27" s="24"/>
      <c r="AC27" s="24"/>
      <c r="AD27" s="24"/>
      <c r="AE27" s="24"/>
      <c r="AF27" s="24"/>
    </row>
    <row r="28" spans="1:32" ht="14.25">
      <c r="A28" s="139"/>
      <c r="B28" s="139"/>
      <c r="C28" s="139"/>
      <c r="D28" s="139"/>
      <c r="E28" s="139"/>
      <c r="F28" s="139"/>
      <c r="G28" s="201" t="e">
        <f>N76</f>
        <v>#N/A</v>
      </c>
      <c r="H28" s="202" t="s">
        <v>104</v>
      </c>
      <c r="I28" s="203"/>
      <c r="K28" s="23"/>
      <c r="L28" s="23"/>
      <c r="M28" s="23"/>
      <c r="N28" s="23"/>
      <c r="O28" s="23"/>
      <c r="P28" s="23"/>
      <c r="Q28" s="77"/>
      <c r="R28" s="86"/>
      <c r="S28" s="77"/>
      <c r="T28" s="77"/>
      <c r="U28" s="77"/>
      <c r="V28" s="24"/>
      <c r="AA28" s="24"/>
      <c r="AB28" s="24"/>
      <c r="AC28" s="76"/>
      <c r="AD28" s="24"/>
      <c r="AE28" s="24"/>
      <c r="AF28" s="24"/>
    </row>
    <row r="29" spans="7:32" ht="14.25">
      <c r="G29" s="204" t="s">
        <v>276</v>
      </c>
      <c r="H29" s="155"/>
      <c r="I29" s="205"/>
      <c r="K29" s="23" t="s">
        <v>98</v>
      </c>
      <c r="L29" s="23" t="s">
        <v>99</v>
      </c>
      <c r="M29" s="23"/>
      <c r="N29" s="23"/>
      <c r="O29" s="23"/>
      <c r="P29" s="23"/>
      <c r="Q29" s="77"/>
      <c r="R29" s="87"/>
      <c r="S29" s="77"/>
      <c r="T29" s="77"/>
      <c r="U29" s="77"/>
      <c r="V29" s="24"/>
      <c r="Y29" s="24"/>
      <c r="Z29" s="24"/>
      <c r="AA29" s="31"/>
      <c r="AB29" s="31"/>
      <c r="AC29" s="31"/>
      <c r="AD29" s="31"/>
      <c r="AE29" s="31"/>
      <c r="AF29" s="24"/>
    </row>
    <row r="30" spans="1:32" ht="14.25">
      <c r="A30" s="213"/>
      <c r="B30" s="214"/>
      <c r="C30" s="215"/>
      <c r="D30" s="188"/>
      <c r="E30" s="214"/>
      <c r="F30" s="214"/>
      <c r="G30" s="145"/>
      <c r="H30" s="214"/>
      <c r="I30" s="45"/>
      <c r="K30" s="19"/>
      <c r="L30" s="19" t="s">
        <v>100</v>
      </c>
      <c r="M30" s="20"/>
      <c r="N30" s="88" t="e">
        <f>IF(P27/M8&lt;100,P27/M8,100)</f>
        <v>#DIV/0!</v>
      </c>
      <c r="O30" s="89" t="e">
        <f>IF(D13=2,N30*P35,N30*P35/2)</f>
        <v>#DIV/0!</v>
      </c>
      <c r="P30" s="22" t="s">
        <v>82</v>
      </c>
      <c r="Q30" s="23"/>
      <c r="R30" s="34"/>
      <c r="S30" s="49"/>
      <c r="T30" s="34"/>
      <c r="U30" s="34"/>
      <c r="V30" s="24"/>
      <c r="Y30" s="24"/>
      <c r="Z30" s="24"/>
      <c r="AA30" s="24"/>
      <c r="AB30" s="24"/>
      <c r="AC30" s="24"/>
      <c r="AD30" s="24"/>
      <c r="AE30" s="24"/>
      <c r="AF30" s="24"/>
    </row>
    <row r="31" spans="1:225" ht="14.25">
      <c r="A31" s="45"/>
      <c r="B31" s="45"/>
      <c r="C31" s="215"/>
      <c r="D31" s="45"/>
      <c r="E31" s="45"/>
      <c r="F31" s="45"/>
      <c r="G31" s="145"/>
      <c r="H31" s="214"/>
      <c r="I31" s="45"/>
      <c r="K31" s="32"/>
      <c r="L31" s="36" t="s">
        <v>101</v>
      </c>
      <c r="M31" s="90"/>
      <c r="N31" s="38"/>
      <c r="O31" s="39"/>
      <c r="P31" s="35"/>
      <c r="Q31" s="23"/>
      <c r="R31" s="34"/>
      <c r="S31" s="49"/>
      <c r="T31" s="34"/>
      <c r="U31" s="34"/>
      <c r="V31" s="24"/>
      <c r="Y31" s="17">
        <f>VLOOKUP(23,$P$73:$S$128,$R$71+1)</f>
        <v>0.2</v>
      </c>
      <c r="Z31" s="17" t="s">
        <v>17</v>
      </c>
      <c r="AB31" s="24"/>
      <c r="AC31" s="24"/>
      <c r="AD31" s="24"/>
      <c r="AG31" s="17">
        <f>VLOOKUP(24,$P$73:$S$128,$R$71+1)</f>
        <v>0.51</v>
      </c>
      <c r="AH31" s="17" t="s">
        <v>17</v>
      </c>
      <c r="AJ31" s="24"/>
      <c r="AK31" s="24"/>
      <c r="AO31" s="17">
        <f>VLOOKUP(25,$P$73:$S$128,$R$71+1)</f>
        <v>1.2</v>
      </c>
      <c r="AP31" s="17" t="s">
        <v>17</v>
      </c>
      <c r="AR31" s="24"/>
      <c r="AS31" s="24"/>
      <c r="AW31" s="17">
        <f>VLOOKUP(26,$P$73:$S$128,$R$71+1)</f>
        <v>0.21</v>
      </c>
      <c r="AX31" s="17" t="s">
        <v>17</v>
      </c>
      <c r="AZ31" s="24"/>
      <c r="BA31" s="24"/>
      <c r="BE31" s="17">
        <f>VLOOKUP(27,$P$73:$S$128,$R$71+1)</f>
        <v>0.98</v>
      </c>
      <c r="BF31" s="17" t="s">
        <v>17</v>
      </c>
      <c r="BH31" s="24"/>
      <c r="BI31" s="24"/>
      <c r="BM31" s="17">
        <f>VLOOKUP(28,$P$73:$S$128,$R$71+1)</f>
        <v>0.29</v>
      </c>
      <c r="BN31" s="17" t="s">
        <v>17</v>
      </c>
      <c r="BP31" s="24"/>
      <c r="BQ31" s="24"/>
      <c r="BU31" s="17">
        <f>VLOOKUP(29,$P$73:$S$128,$R$71+1)</f>
        <v>0.64</v>
      </c>
      <c r="BV31" s="17" t="s">
        <v>17</v>
      </c>
      <c r="BX31" s="24"/>
      <c r="BY31" s="24"/>
      <c r="CC31" s="17">
        <f>VLOOKUP(30,$P$73:$S$128,$R$71+1)</f>
        <v>1.88</v>
      </c>
      <c r="CD31" s="17" t="s">
        <v>17</v>
      </c>
      <c r="CF31" s="24"/>
      <c r="CG31" s="24"/>
      <c r="CK31" s="17">
        <f>VLOOKUP(31,$P$73:$S$128,$R$71+1)</f>
        <v>0.7</v>
      </c>
      <c r="CL31" s="17" t="s">
        <v>17</v>
      </c>
      <c r="CN31" s="24"/>
      <c r="CO31" s="24"/>
      <c r="CS31" s="17">
        <f>VLOOKUP(32,$P$73:$S$128,$R$71+1)</f>
        <v>1</v>
      </c>
      <c r="CT31" s="17" t="s">
        <v>17</v>
      </c>
      <c r="CV31" s="24"/>
      <c r="CW31" s="24"/>
      <c r="DA31" s="17">
        <f>VLOOKUP(33,$P$73:$S$128,$R$71+1)</f>
        <v>0.14</v>
      </c>
      <c r="DB31" s="17" t="s">
        <v>17</v>
      </c>
      <c r="DD31" s="24"/>
      <c r="DE31" s="24"/>
      <c r="DI31" s="17">
        <f>VLOOKUP(34,$P$73:$S$128,$R$71+1)</f>
        <v>0.32</v>
      </c>
      <c r="DJ31" s="17" t="s">
        <v>17</v>
      </c>
      <c r="DL31" s="24"/>
      <c r="DM31" s="24"/>
      <c r="DQ31" s="17">
        <f>VLOOKUP(35,$P$73:$S$128,$R$71+1)</f>
        <v>0.72</v>
      </c>
      <c r="DR31" s="17" t="s">
        <v>17</v>
      </c>
      <c r="DT31" s="24"/>
      <c r="DU31" s="24"/>
      <c r="DY31" s="17">
        <f>VLOOKUP(36,$P$73:$S$128,$R$71+1)</f>
        <v>0.16</v>
      </c>
      <c r="DZ31" s="17" t="s">
        <v>17</v>
      </c>
      <c r="EB31" s="24"/>
      <c r="EC31" s="24"/>
      <c r="EG31" s="17">
        <f>VLOOKUP(37,$P$73:$S$128,$R$71+1)</f>
        <v>0.32</v>
      </c>
      <c r="EH31" s="17" t="s">
        <v>17</v>
      </c>
      <c r="EJ31" s="24"/>
      <c r="EK31" s="24"/>
      <c r="EO31" s="17">
        <f>VLOOKUP(38,$P$73:$S$128,$R$71+1)</f>
        <v>0.83</v>
      </c>
      <c r="EP31" s="17" t="s">
        <v>17</v>
      </c>
      <c r="ER31" s="24"/>
      <c r="ES31" s="24"/>
      <c r="EW31" s="17">
        <f>VLOOKUP(39,$P$73:$S$128,$R$71+1)</f>
        <v>0.7</v>
      </c>
      <c r="EX31" s="17" t="s">
        <v>17</v>
      </c>
      <c r="EZ31" s="24"/>
      <c r="FA31" s="24"/>
      <c r="FE31" s="17">
        <f>VLOOKUP(40,$P$73:$S$128,$R$71+1)</f>
        <v>0.47</v>
      </c>
      <c r="FF31" s="17" t="s">
        <v>17</v>
      </c>
      <c r="FH31" s="24"/>
      <c r="FI31" s="24"/>
      <c r="FJ31" s="24"/>
      <c r="FM31" s="17">
        <f>VLOOKUP(41,$P$73:$S$128,$R$71+1)</f>
        <v>0.25</v>
      </c>
      <c r="FN31" s="17" t="s">
        <v>17</v>
      </c>
      <c r="FP31" s="24"/>
      <c r="FQ31" s="24"/>
      <c r="FR31" s="24"/>
      <c r="FU31" s="17">
        <f>VLOOKUP(42,$P$73:$S$128,$R$71+1)</f>
        <v>0.72</v>
      </c>
      <c r="FV31" s="17" t="s">
        <v>17</v>
      </c>
      <c r="FX31" s="24"/>
      <c r="FY31" s="24"/>
      <c r="FZ31" s="24"/>
      <c r="GC31" s="17">
        <f>VLOOKUP(43,$P$73:$S$128,$R$71+1)</f>
        <v>0.58</v>
      </c>
      <c r="GD31" s="17" t="s">
        <v>17</v>
      </c>
      <c r="GF31" s="24"/>
      <c r="GG31" s="24"/>
      <c r="GH31" s="24"/>
      <c r="GK31" s="17">
        <f>VLOOKUP(44,$P$73:$S$128,$R$71+1)</f>
        <v>0.18</v>
      </c>
      <c r="GL31" s="17" t="s">
        <v>17</v>
      </c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</row>
    <row r="32" spans="11:225" ht="14.25">
      <c r="K32" s="32"/>
      <c r="L32" s="34"/>
      <c r="M32" s="34"/>
      <c r="N32" s="34"/>
      <c r="O32" s="34"/>
      <c r="P32" s="35"/>
      <c r="Q32" s="23"/>
      <c r="R32" s="34"/>
      <c r="S32" s="34"/>
      <c r="T32" s="23"/>
      <c r="U32" s="23"/>
      <c r="W32" s="40"/>
      <c r="X32" s="41" t="s">
        <v>42</v>
      </c>
      <c r="Y32" s="41" t="s">
        <v>43</v>
      </c>
      <c r="Z32" s="42" t="s">
        <v>0</v>
      </c>
      <c r="AA32" s="42" t="s">
        <v>44</v>
      </c>
      <c r="AB32" s="41" t="s">
        <v>45</v>
      </c>
      <c r="AC32" s="43" t="s">
        <v>46</v>
      </c>
      <c r="AD32" s="25"/>
      <c r="AE32" s="40"/>
      <c r="AF32" s="41" t="s">
        <v>42</v>
      </c>
      <c r="AG32" s="41" t="s">
        <v>43</v>
      </c>
      <c r="AH32" s="42" t="s">
        <v>0</v>
      </c>
      <c r="AI32" s="42" t="s">
        <v>44</v>
      </c>
      <c r="AJ32" s="41" t="s">
        <v>45</v>
      </c>
      <c r="AK32" s="43" t="s">
        <v>46</v>
      </c>
      <c r="AM32" s="40"/>
      <c r="AN32" s="41" t="s">
        <v>42</v>
      </c>
      <c r="AO32" s="41" t="s">
        <v>43</v>
      </c>
      <c r="AP32" s="42" t="s">
        <v>0</v>
      </c>
      <c r="AQ32" s="42" t="s">
        <v>44</v>
      </c>
      <c r="AR32" s="41" t="s">
        <v>45</v>
      </c>
      <c r="AS32" s="43" t="s">
        <v>46</v>
      </c>
      <c r="AU32" s="40"/>
      <c r="AV32" s="41" t="s">
        <v>42</v>
      </c>
      <c r="AW32" s="41" t="s">
        <v>43</v>
      </c>
      <c r="AX32" s="42" t="s">
        <v>0</v>
      </c>
      <c r="AY32" s="42" t="s">
        <v>44</v>
      </c>
      <c r="AZ32" s="41" t="s">
        <v>45</v>
      </c>
      <c r="BA32" s="43" t="s">
        <v>46</v>
      </c>
      <c r="BC32" s="40"/>
      <c r="BD32" s="41" t="s">
        <v>42</v>
      </c>
      <c r="BE32" s="41" t="s">
        <v>43</v>
      </c>
      <c r="BF32" s="42" t="s">
        <v>0</v>
      </c>
      <c r="BG32" s="42" t="s">
        <v>44</v>
      </c>
      <c r="BH32" s="41" t="s">
        <v>45</v>
      </c>
      <c r="BI32" s="43" t="s">
        <v>46</v>
      </c>
      <c r="BK32" s="40"/>
      <c r="BL32" s="41" t="s">
        <v>42</v>
      </c>
      <c r="BM32" s="41" t="s">
        <v>43</v>
      </c>
      <c r="BN32" s="42" t="s">
        <v>0</v>
      </c>
      <c r="BO32" s="42" t="s">
        <v>44</v>
      </c>
      <c r="BP32" s="41" t="s">
        <v>45</v>
      </c>
      <c r="BQ32" s="43" t="s">
        <v>46</v>
      </c>
      <c r="BS32" s="40"/>
      <c r="BT32" s="41" t="s">
        <v>42</v>
      </c>
      <c r="BU32" s="41" t="s">
        <v>43</v>
      </c>
      <c r="BV32" s="42" t="s">
        <v>0</v>
      </c>
      <c r="BW32" s="42" t="s">
        <v>44</v>
      </c>
      <c r="BX32" s="41" t="s">
        <v>45</v>
      </c>
      <c r="BY32" s="43" t="s">
        <v>46</v>
      </c>
      <c r="CA32" s="40"/>
      <c r="CB32" s="41" t="s">
        <v>42</v>
      </c>
      <c r="CC32" s="41" t="s">
        <v>43</v>
      </c>
      <c r="CD32" s="42" t="s">
        <v>0</v>
      </c>
      <c r="CE32" s="42" t="s">
        <v>44</v>
      </c>
      <c r="CF32" s="41" t="s">
        <v>45</v>
      </c>
      <c r="CG32" s="43" t="s">
        <v>46</v>
      </c>
      <c r="CI32" s="40"/>
      <c r="CJ32" s="41" t="s">
        <v>42</v>
      </c>
      <c r="CK32" s="41" t="s">
        <v>43</v>
      </c>
      <c r="CL32" s="42" t="s">
        <v>0</v>
      </c>
      <c r="CM32" s="42" t="s">
        <v>44</v>
      </c>
      <c r="CN32" s="41" t="s">
        <v>45</v>
      </c>
      <c r="CO32" s="43" t="s">
        <v>46</v>
      </c>
      <c r="CQ32" s="40"/>
      <c r="CR32" s="41" t="s">
        <v>42</v>
      </c>
      <c r="CS32" s="41" t="s">
        <v>43</v>
      </c>
      <c r="CT32" s="42" t="s">
        <v>0</v>
      </c>
      <c r="CU32" s="42" t="s">
        <v>44</v>
      </c>
      <c r="CV32" s="41" t="s">
        <v>45</v>
      </c>
      <c r="CW32" s="43" t="s">
        <v>46</v>
      </c>
      <c r="CY32" s="40"/>
      <c r="CZ32" s="41" t="s">
        <v>42</v>
      </c>
      <c r="DA32" s="41" t="s">
        <v>43</v>
      </c>
      <c r="DB32" s="42" t="s">
        <v>0</v>
      </c>
      <c r="DC32" s="42" t="s">
        <v>44</v>
      </c>
      <c r="DD32" s="41" t="s">
        <v>45</v>
      </c>
      <c r="DE32" s="43" t="s">
        <v>46</v>
      </c>
      <c r="DG32" s="40"/>
      <c r="DH32" s="41" t="s">
        <v>42</v>
      </c>
      <c r="DI32" s="41" t="s">
        <v>43</v>
      </c>
      <c r="DJ32" s="42" t="s">
        <v>0</v>
      </c>
      <c r="DK32" s="42" t="s">
        <v>44</v>
      </c>
      <c r="DL32" s="41" t="s">
        <v>45</v>
      </c>
      <c r="DM32" s="43" t="s">
        <v>46</v>
      </c>
      <c r="DO32" s="40"/>
      <c r="DP32" s="41" t="s">
        <v>42</v>
      </c>
      <c r="DQ32" s="41" t="s">
        <v>43</v>
      </c>
      <c r="DR32" s="42" t="s">
        <v>0</v>
      </c>
      <c r="DS32" s="42" t="s">
        <v>44</v>
      </c>
      <c r="DT32" s="41" t="s">
        <v>45</v>
      </c>
      <c r="DU32" s="43" t="s">
        <v>46</v>
      </c>
      <c r="DW32" s="40"/>
      <c r="DX32" s="41" t="s">
        <v>42</v>
      </c>
      <c r="DY32" s="41" t="s">
        <v>43</v>
      </c>
      <c r="DZ32" s="42" t="s">
        <v>0</v>
      </c>
      <c r="EA32" s="42" t="s">
        <v>44</v>
      </c>
      <c r="EB32" s="41" t="s">
        <v>45</v>
      </c>
      <c r="EC32" s="43" t="s">
        <v>46</v>
      </c>
      <c r="EE32" s="40"/>
      <c r="EF32" s="41" t="s">
        <v>42</v>
      </c>
      <c r="EG32" s="41" t="s">
        <v>43</v>
      </c>
      <c r="EH32" s="42" t="s">
        <v>0</v>
      </c>
      <c r="EI32" s="42" t="s">
        <v>44</v>
      </c>
      <c r="EJ32" s="41" t="s">
        <v>45</v>
      </c>
      <c r="EK32" s="43" t="s">
        <v>46</v>
      </c>
      <c r="EM32" s="40"/>
      <c r="EN32" s="41" t="s">
        <v>42</v>
      </c>
      <c r="EO32" s="41" t="s">
        <v>43</v>
      </c>
      <c r="EP32" s="42" t="s">
        <v>0</v>
      </c>
      <c r="EQ32" s="42" t="s">
        <v>44</v>
      </c>
      <c r="ER32" s="41" t="s">
        <v>45</v>
      </c>
      <c r="ES32" s="43" t="s">
        <v>46</v>
      </c>
      <c r="EU32" s="40"/>
      <c r="EV32" s="41" t="s">
        <v>42</v>
      </c>
      <c r="EW32" s="41" t="s">
        <v>43</v>
      </c>
      <c r="EX32" s="42" t="s">
        <v>0</v>
      </c>
      <c r="EY32" s="42" t="s">
        <v>44</v>
      </c>
      <c r="EZ32" s="41" t="s">
        <v>45</v>
      </c>
      <c r="FA32" s="43" t="s">
        <v>46</v>
      </c>
      <c r="FC32" s="40"/>
      <c r="FD32" s="41" t="s">
        <v>42</v>
      </c>
      <c r="FE32" s="41" t="s">
        <v>43</v>
      </c>
      <c r="FF32" s="42" t="s">
        <v>0</v>
      </c>
      <c r="FG32" s="42" t="s">
        <v>44</v>
      </c>
      <c r="FH32" s="41" t="s">
        <v>45</v>
      </c>
      <c r="FI32" s="43" t="s">
        <v>46</v>
      </c>
      <c r="FJ32" s="24"/>
      <c r="FK32" s="40"/>
      <c r="FL32" s="41" t="s">
        <v>42</v>
      </c>
      <c r="FM32" s="41" t="s">
        <v>43</v>
      </c>
      <c r="FN32" s="42" t="s">
        <v>0</v>
      </c>
      <c r="FO32" s="42" t="s">
        <v>44</v>
      </c>
      <c r="FP32" s="41" t="s">
        <v>45</v>
      </c>
      <c r="FQ32" s="43" t="s">
        <v>46</v>
      </c>
      <c r="FR32" s="24"/>
      <c r="FS32" s="40"/>
      <c r="FT32" s="41" t="s">
        <v>42</v>
      </c>
      <c r="FU32" s="41" t="s">
        <v>43</v>
      </c>
      <c r="FV32" s="42" t="s">
        <v>0</v>
      </c>
      <c r="FW32" s="42" t="s">
        <v>44</v>
      </c>
      <c r="FX32" s="41" t="s">
        <v>45</v>
      </c>
      <c r="FY32" s="43" t="s">
        <v>46</v>
      </c>
      <c r="FZ32" s="24"/>
      <c r="GA32" s="40"/>
      <c r="GB32" s="41" t="s">
        <v>42</v>
      </c>
      <c r="GC32" s="41" t="s">
        <v>43</v>
      </c>
      <c r="GD32" s="42" t="s">
        <v>0</v>
      </c>
      <c r="GE32" s="42" t="s">
        <v>44</v>
      </c>
      <c r="GF32" s="41" t="s">
        <v>45</v>
      </c>
      <c r="GG32" s="43" t="s">
        <v>46</v>
      </c>
      <c r="GH32" s="24"/>
      <c r="GI32" s="40"/>
      <c r="GJ32" s="41" t="s">
        <v>42</v>
      </c>
      <c r="GK32" s="41" t="s">
        <v>43</v>
      </c>
      <c r="GL32" s="42" t="s">
        <v>0</v>
      </c>
      <c r="GM32" s="42" t="s">
        <v>44</v>
      </c>
      <c r="GN32" s="41" t="s">
        <v>45</v>
      </c>
      <c r="GO32" s="43" t="s">
        <v>46</v>
      </c>
      <c r="GP32" s="24"/>
      <c r="GQ32" s="24"/>
      <c r="GR32" s="24"/>
      <c r="GS32" s="24"/>
      <c r="GT32" s="25"/>
      <c r="GU32" s="25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</row>
    <row r="33" spans="1:225" ht="14.25">
      <c r="A33" s="135"/>
      <c r="B33" s="135"/>
      <c r="C33" s="135"/>
      <c r="D33" s="135"/>
      <c r="E33" s="135"/>
      <c r="F33" s="135"/>
      <c r="G33" s="135"/>
      <c r="H33" s="135"/>
      <c r="I33" s="135"/>
      <c r="K33" s="19" t="s">
        <v>102</v>
      </c>
      <c r="L33" s="20"/>
      <c r="M33" s="20"/>
      <c r="N33" s="20"/>
      <c r="O33" s="20"/>
      <c r="P33" s="70" t="s">
        <v>66</v>
      </c>
      <c r="Q33" s="23"/>
      <c r="R33" s="34"/>
      <c r="S33" s="49"/>
      <c r="T33" s="23"/>
      <c r="U33" s="23"/>
      <c r="W33" s="51" t="s">
        <v>50</v>
      </c>
      <c r="X33" s="24">
        <f>$E$12</f>
        <v>0</v>
      </c>
      <c r="Y33" s="52">
        <f>X33/43560</f>
        <v>0</v>
      </c>
      <c r="Z33" s="53" t="e">
        <f>$O$4</f>
        <v>#N/A</v>
      </c>
      <c r="AA33" s="31" t="e">
        <f>(1000/Z33)-10</f>
        <v>#N/A</v>
      </c>
      <c r="AB33" s="31" t="e">
        <f>(Y31-0.2*AA33)^2/(Y31+0.8*AA33)</f>
        <v>#N/A</v>
      </c>
      <c r="AC33" s="54" t="e">
        <f>IF(Y31&gt;0,AB33*Y33,0)</f>
        <v>#N/A</v>
      </c>
      <c r="AD33" s="25"/>
      <c r="AE33" s="51" t="s">
        <v>50</v>
      </c>
      <c r="AF33" s="24">
        <f>$E$12</f>
        <v>0</v>
      </c>
      <c r="AG33" s="52">
        <f>AF33/43560</f>
        <v>0</v>
      </c>
      <c r="AH33" s="53" t="e">
        <f>$O$4</f>
        <v>#N/A</v>
      </c>
      <c r="AI33" s="31" t="e">
        <f>(1000/AH33)-10</f>
        <v>#N/A</v>
      </c>
      <c r="AJ33" s="31" t="e">
        <f>(AG31-0.2*AI33)^2/(AG31+0.8*AI33)</f>
        <v>#N/A</v>
      </c>
      <c r="AK33" s="54" t="e">
        <f>IF(AG31&gt;0,AJ33*AG33,0)</f>
        <v>#N/A</v>
      </c>
      <c r="AM33" s="51" t="s">
        <v>50</v>
      </c>
      <c r="AN33" s="24">
        <f>$E$12</f>
        <v>0</v>
      </c>
      <c r="AO33" s="52">
        <f>AN33/43560</f>
        <v>0</v>
      </c>
      <c r="AP33" s="53" t="e">
        <f>$O$4</f>
        <v>#N/A</v>
      </c>
      <c r="AQ33" s="31" t="e">
        <f>(1000/AP33)-10</f>
        <v>#N/A</v>
      </c>
      <c r="AR33" s="31" t="e">
        <f>(AO31-0.2*AQ33)^2/(AO31+0.8*AQ33)</f>
        <v>#N/A</v>
      </c>
      <c r="AS33" s="54" t="e">
        <f>IF(AO31&gt;0,AR33*AO33,0)</f>
        <v>#N/A</v>
      </c>
      <c r="AU33" s="51" t="s">
        <v>50</v>
      </c>
      <c r="AV33" s="24">
        <f>$E$12</f>
        <v>0</v>
      </c>
      <c r="AW33" s="52">
        <f>AV33/43560</f>
        <v>0</v>
      </c>
      <c r="AX33" s="53" t="e">
        <f>$O$4</f>
        <v>#N/A</v>
      </c>
      <c r="AY33" s="31" t="e">
        <f>(1000/AX33)-10</f>
        <v>#N/A</v>
      </c>
      <c r="AZ33" s="31" t="e">
        <f>(AW31-0.2*AY33)^2/(AW31+0.8*AY33)</f>
        <v>#N/A</v>
      </c>
      <c r="BA33" s="54" t="e">
        <f>IF(AW31&gt;0,AZ33*AW33,0)</f>
        <v>#N/A</v>
      </c>
      <c r="BC33" s="51" t="s">
        <v>50</v>
      </c>
      <c r="BD33" s="24">
        <f>$E$12</f>
        <v>0</v>
      </c>
      <c r="BE33" s="52">
        <f>BD33/43560</f>
        <v>0</v>
      </c>
      <c r="BF33" s="53" t="e">
        <f>$O$4</f>
        <v>#N/A</v>
      </c>
      <c r="BG33" s="31" t="e">
        <f>(1000/BF33)-10</f>
        <v>#N/A</v>
      </c>
      <c r="BH33" s="31" t="e">
        <f>(BE31-0.2*BG33)^2/(BE31+0.8*BG33)</f>
        <v>#N/A</v>
      </c>
      <c r="BI33" s="54" t="e">
        <f>IF(BE31&gt;0,BH33*BE33,0)</f>
        <v>#N/A</v>
      </c>
      <c r="BK33" s="51" t="s">
        <v>50</v>
      </c>
      <c r="BL33" s="24">
        <f>$E$12</f>
        <v>0</v>
      </c>
      <c r="BM33" s="52">
        <f>BL33/43560</f>
        <v>0</v>
      </c>
      <c r="BN33" s="53" t="e">
        <f>$O$4</f>
        <v>#N/A</v>
      </c>
      <c r="BO33" s="31" t="e">
        <f>(1000/BN33)-10</f>
        <v>#N/A</v>
      </c>
      <c r="BP33" s="31" t="e">
        <f>(BM31-0.2*BO33)^2/(BM31+0.8*BO33)</f>
        <v>#N/A</v>
      </c>
      <c r="BQ33" s="54" t="e">
        <f>IF(BM31&gt;0,BP33*BM33,0)</f>
        <v>#N/A</v>
      </c>
      <c r="BS33" s="51" t="s">
        <v>50</v>
      </c>
      <c r="BT33" s="24">
        <f>$E$12</f>
        <v>0</v>
      </c>
      <c r="BU33" s="52">
        <f>BT33/43560</f>
        <v>0</v>
      </c>
      <c r="BV33" s="53" t="e">
        <f>$O$4</f>
        <v>#N/A</v>
      </c>
      <c r="BW33" s="31" t="e">
        <f>(1000/BV33)-10</f>
        <v>#N/A</v>
      </c>
      <c r="BX33" s="31" t="e">
        <f>(BU31-0.2*BW33)^2/(BU31+0.8*BW33)</f>
        <v>#N/A</v>
      </c>
      <c r="BY33" s="54" t="e">
        <f>IF(BU31&gt;0,BX33*BU33,0)</f>
        <v>#N/A</v>
      </c>
      <c r="CA33" s="51" t="s">
        <v>50</v>
      </c>
      <c r="CB33" s="24">
        <f>$E$12</f>
        <v>0</v>
      </c>
      <c r="CC33" s="52">
        <f>CB33/43560</f>
        <v>0</v>
      </c>
      <c r="CD33" s="53" t="e">
        <f>$O$4</f>
        <v>#N/A</v>
      </c>
      <c r="CE33" s="31" t="e">
        <f>(1000/CD33)-10</f>
        <v>#N/A</v>
      </c>
      <c r="CF33" s="31" t="e">
        <f>(CC31-0.2*CE33)^2/(CC31+0.8*CE33)</f>
        <v>#N/A</v>
      </c>
      <c r="CG33" s="54" t="e">
        <f>IF(CC31&gt;0,CF33*CC33,0)</f>
        <v>#N/A</v>
      </c>
      <c r="CI33" s="51" t="s">
        <v>50</v>
      </c>
      <c r="CJ33" s="24">
        <f>$E$12</f>
        <v>0</v>
      </c>
      <c r="CK33" s="52">
        <f>CJ33/43560</f>
        <v>0</v>
      </c>
      <c r="CL33" s="53" t="e">
        <f>$O$4</f>
        <v>#N/A</v>
      </c>
      <c r="CM33" s="31" t="e">
        <f>(1000/CL33)-10</f>
        <v>#N/A</v>
      </c>
      <c r="CN33" s="31" t="e">
        <f>(CK31-0.2*CM33)^2/(CK31+0.8*CM33)</f>
        <v>#N/A</v>
      </c>
      <c r="CO33" s="54" t="e">
        <f>IF(CK31&gt;0,CN33*CK33,0)</f>
        <v>#N/A</v>
      </c>
      <c r="CQ33" s="51" t="s">
        <v>50</v>
      </c>
      <c r="CR33" s="24">
        <f>$E$12</f>
        <v>0</v>
      </c>
      <c r="CS33" s="52">
        <f>CR33/43560</f>
        <v>0</v>
      </c>
      <c r="CT33" s="53" t="e">
        <f>$O$4</f>
        <v>#N/A</v>
      </c>
      <c r="CU33" s="31" t="e">
        <f>(1000/CT33)-10</f>
        <v>#N/A</v>
      </c>
      <c r="CV33" s="31" t="e">
        <f>(CS31-0.2*CU33)^2/(CS31+0.8*CU33)</f>
        <v>#N/A</v>
      </c>
      <c r="CW33" s="54" t="e">
        <f>IF(CS31&gt;0,CV33*CS33,0)</f>
        <v>#N/A</v>
      </c>
      <c r="CY33" s="51" t="s">
        <v>50</v>
      </c>
      <c r="CZ33" s="24">
        <f>$E$12</f>
        <v>0</v>
      </c>
      <c r="DA33" s="52">
        <f>CZ33/43560</f>
        <v>0</v>
      </c>
      <c r="DB33" s="53" t="e">
        <f>$O$4</f>
        <v>#N/A</v>
      </c>
      <c r="DC33" s="31" t="e">
        <f>(1000/DB33)-10</f>
        <v>#N/A</v>
      </c>
      <c r="DD33" s="31" t="e">
        <f>(DA31-0.2*DC33)^2/(DA31+0.8*DC33)</f>
        <v>#N/A</v>
      </c>
      <c r="DE33" s="54" t="e">
        <f>IF(DA31&gt;0,DD33*DA33,0)</f>
        <v>#N/A</v>
      </c>
      <c r="DG33" s="51" t="s">
        <v>50</v>
      </c>
      <c r="DH33" s="24">
        <f>$E$12</f>
        <v>0</v>
      </c>
      <c r="DI33" s="52">
        <f>DH33/43560</f>
        <v>0</v>
      </c>
      <c r="DJ33" s="53" t="e">
        <f>$O$4</f>
        <v>#N/A</v>
      </c>
      <c r="DK33" s="31" t="e">
        <f>(1000/DJ33)-10</f>
        <v>#N/A</v>
      </c>
      <c r="DL33" s="31" t="e">
        <f>(DI31-0.2*DK33)^2/(DI31+0.8*DK33)</f>
        <v>#N/A</v>
      </c>
      <c r="DM33" s="54" t="e">
        <f>IF(DI31&gt;0,DL33*DI33,0)</f>
        <v>#N/A</v>
      </c>
      <c r="DO33" s="51" t="s">
        <v>50</v>
      </c>
      <c r="DP33" s="24">
        <f>$E$12</f>
        <v>0</v>
      </c>
      <c r="DQ33" s="52">
        <f>DP33/43560</f>
        <v>0</v>
      </c>
      <c r="DR33" s="53" t="e">
        <f>$O$4</f>
        <v>#N/A</v>
      </c>
      <c r="DS33" s="31" t="e">
        <f>(1000/DR33)-10</f>
        <v>#N/A</v>
      </c>
      <c r="DT33" s="31" t="e">
        <f>(DQ31-0.2*DS33)^2/(DQ31+0.8*DS33)</f>
        <v>#N/A</v>
      </c>
      <c r="DU33" s="54" t="e">
        <f>IF(DQ31&gt;0,DT33*DQ33,0)</f>
        <v>#N/A</v>
      </c>
      <c r="DW33" s="51" t="s">
        <v>50</v>
      </c>
      <c r="DX33" s="24">
        <f>$E$12</f>
        <v>0</v>
      </c>
      <c r="DY33" s="52">
        <f>DX33/43560</f>
        <v>0</v>
      </c>
      <c r="DZ33" s="53" t="e">
        <f>$O$4</f>
        <v>#N/A</v>
      </c>
      <c r="EA33" s="31" t="e">
        <f>(1000/DZ33)-10</f>
        <v>#N/A</v>
      </c>
      <c r="EB33" s="31" t="e">
        <f>(DY31-0.2*EA33)^2/(DY31+0.8*EA33)</f>
        <v>#N/A</v>
      </c>
      <c r="EC33" s="54" t="e">
        <f>IF(DY31&gt;0,EB33*DY33,0)</f>
        <v>#N/A</v>
      </c>
      <c r="EE33" s="51" t="s">
        <v>50</v>
      </c>
      <c r="EF33" s="24">
        <f>$E$12</f>
        <v>0</v>
      </c>
      <c r="EG33" s="52">
        <f>EF33/43560</f>
        <v>0</v>
      </c>
      <c r="EH33" s="53" t="e">
        <f>$O$4</f>
        <v>#N/A</v>
      </c>
      <c r="EI33" s="31" t="e">
        <f>(1000/EH33)-10</f>
        <v>#N/A</v>
      </c>
      <c r="EJ33" s="31" t="e">
        <f>(EG31-0.2*EI33)^2/(EG31+0.8*EI33)</f>
        <v>#N/A</v>
      </c>
      <c r="EK33" s="54" t="e">
        <f>IF(EG31&gt;0,EJ33*EG33,0)</f>
        <v>#N/A</v>
      </c>
      <c r="EM33" s="51" t="s">
        <v>50</v>
      </c>
      <c r="EN33" s="24">
        <f>$E$12</f>
        <v>0</v>
      </c>
      <c r="EO33" s="52">
        <f>EN33/43560</f>
        <v>0</v>
      </c>
      <c r="EP33" s="53" t="e">
        <f>$O$4</f>
        <v>#N/A</v>
      </c>
      <c r="EQ33" s="31" t="e">
        <f>(1000/EP33)-10</f>
        <v>#N/A</v>
      </c>
      <c r="ER33" s="31" t="e">
        <f>(EO31-0.2*EQ33)^2/(EO31+0.8*EQ33)</f>
        <v>#N/A</v>
      </c>
      <c r="ES33" s="54" t="e">
        <f>IF(EO31&gt;0,ER33*EO33,0)</f>
        <v>#N/A</v>
      </c>
      <c r="EU33" s="51" t="s">
        <v>50</v>
      </c>
      <c r="EV33" s="24">
        <f>$E$12</f>
        <v>0</v>
      </c>
      <c r="EW33" s="52">
        <f>EV33/43560</f>
        <v>0</v>
      </c>
      <c r="EX33" s="53" t="e">
        <f>$O$4</f>
        <v>#N/A</v>
      </c>
      <c r="EY33" s="31" t="e">
        <f>(1000/EX33)-10</f>
        <v>#N/A</v>
      </c>
      <c r="EZ33" s="31" t="e">
        <f>(EW31-0.2*EY33)^2/(EW31+0.8*EY33)</f>
        <v>#N/A</v>
      </c>
      <c r="FA33" s="54" t="e">
        <f>IF(EW31&gt;0,EZ33*EW33,0)</f>
        <v>#N/A</v>
      </c>
      <c r="FC33" s="51" t="s">
        <v>50</v>
      </c>
      <c r="FD33" s="24">
        <f>$E$12</f>
        <v>0</v>
      </c>
      <c r="FE33" s="52">
        <f>FD33/43560</f>
        <v>0</v>
      </c>
      <c r="FF33" s="53" t="e">
        <f>$O$4</f>
        <v>#N/A</v>
      </c>
      <c r="FG33" s="31" t="e">
        <f>(1000/FF33)-10</f>
        <v>#N/A</v>
      </c>
      <c r="FH33" s="31" t="e">
        <f>(FE31-0.2*FG33)^2/(FE31+0.8*FG33)</f>
        <v>#N/A</v>
      </c>
      <c r="FI33" s="54" t="e">
        <f>IF(FE31&gt;0,FH33*FE33,0)</f>
        <v>#N/A</v>
      </c>
      <c r="FJ33" s="24"/>
      <c r="FK33" s="51" t="s">
        <v>50</v>
      </c>
      <c r="FL33" s="24">
        <f>$E$12</f>
        <v>0</v>
      </c>
      <c r="FM33" s="52">
        <f>FL33/43560</f>
        <v>0</v>
      </c>
      <c r="FN33" s="53" t="e">
        <f>$O$4</f>
        <v>#N/A</v>
      </c>
      <c r="FO33" s="31" t="e">
        <f>(1000/FN33)-10</f>
        <v>#N/A</v>
      </c>
      <c r="FP33" s="31" t="e">
        <f>(FM31-0.2*FO33)^2/(FM31+0.8*FO33)</f>
        <v>#N/A</v>
      </c>
      <c r="FQ33" s="54" t="e">
        <f>IF(FM31&gt;0,FP33*FM33,0)</f>
        <v>#N/A</v>
      </c>
      <c r="FR33" s="24"/>
      <c r="FS33" s="51" t="s">
        <v>50</v>
      </c>
      <c r="FT33" s="24">
        <f>$E$12</f>
        <v>0</v>
      </c>
      <c r="FU33" s="52">
        <f>FT33/43560</f>
        <v>0</v>
      </c>
      <c r="FV33" s="53" t="e">
        <f>$O$4</f>
        <v>#N/A</v>
      </c>
      <c r="FW33" s="31" t="e">
        <f>(1000/FV33)-10</f>
        <v>#N/A</v>
      </c>
      <c r="FX33" s="31" t="e">
        <f>(FU31-0.2*FW33)^2/(FU31+0.8*FW33)</f>
        <v>#N/A</v>
      </c>
      <c r="FY33" s="54" t="e">
        <f>IF(FU31&gt;0,FX33*FU33,0)</f>
        <v>#N/A</v>
      </c>
      <c r="FZ33" s="24"/>
      <c r="GA33" s="51" t="s">
        <v>50</v>
      </c>
      <c r="GB33" s="24">
        <f>$E$12</f>
        <v>0</v>
      </c>
      <c r="GC33" s="52">
        <f>GB33/43560</f>
        <v>0</v>
      </c>
      <c r="GD33" s="53" t="e">
        <f>$O$4</f>
        <v>#N/A</v>
      </c>
      <c r="GE33" s="31" t="e">
        <f>(1000/GD33)-10</f>
        <v>#N/A</v>
      </c>
      <c r="GF33" s="31" t="e">
        <f>(GC31-0.2*GE33)^2/(GC31+0.8*GE33)</f>
        <v>#N/A</v>
      </c>
      <c r="GG33" s="54" t="e">
        <f>IF(GC31&gt;0,GF33*GC33,0)</f>
        <v>#N/A</v>
      </c>
      <c r="GH33" s="24"/>
      <c r="GI33" s="51" t="s">
        <v>50</v>
      </c>
      <c r="GJ33" s="24">
        <f>$E$12</f>
        <v>0</v>
      </c>
      <c r="GK33" s="52">
        <f>GJ33/43560</f>
        <v>0</v>
      </c>
      <c r="GL33" s="53" t="e">
        <f>$O$4</f>
        <v>#N/A</v>
      </c>
      <c r="GM33" s="31" t="e">
        <f>(1000/GL33)-10</f>
        <v>#N/A</v>
      </c>
      <c r="GN33" s="31" t="e">
        <f>(GK31-0.2*GM33)^2/(GK31+0.8*GM33)</f>
        <v>#N/A</v>
      </c>
      <c r="GO33" s="54" t="e">
        <f>IF(GK31&gt;0,GN33*GK33,0)</f>
        <v>#N/A</v>
      </c>
      <c r="GP33" s="24"/>
      <c r="GQ33" s="73"/>
      <c r="GR33" s="24"/>
      <c r="GS33" s="52"/>
      <c r="GT33" s="53"/>
      <c r="GU33" s="31"/>
      <c r="GV33" s="31"/>
      <c r="GW33" s="31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</row>
    <row r="34" spans="1:225" ht="14.25">
      <c r="A34" s="134" t="s">
        <v>302</v>
      </c>
      <c r="B34" s="135"/>
      <c r="C34" s="135"/>
      <c r="D34" s="135"/>
      <c r="E34" s="135"/>
      <c r="F34" s="135"/>
      <c r="G34" s="135"/>
      <c r="H34" s="135"/>
      <c r="I34" s="135"/>
      <c r="K34" s="32"/>
      <c r="L34" s="34" t="s">
        <v>105</v>
      </c>
      <c r="M34" s="34" t="s">
        <v>106</v>
      </c>
      <c r="N34" s="34" t="s">
        <v>107</v>
      </c>
      <c r="O34" s="71" t="s">
        <v>108</v>
      </c>
      <c r="P34" s="72" t="s">
        <v>109</v>
      </c>
      <c r="Q34" s="23"/>
      <c r="R34" s="34"/>
      <c r="S34" s="23"/>
      <c r="T34" s="23"/>
      <c r="U34" s="23"/>
      <c r="W34" s="51"/>
      <c r="X34" s="24"/>
      <c r="Y34" s="24"/>
      <c r="Z34" s="24"/>
      <c r="AA34" s="24"/>
      <c r="AB34" s="24"/>
      <c r="AC34" s="56"/>
      <c r="AD34" s="24"/>
      <c r="AE34" s="51"/>
      <c r="AF34" s="24"/>
      <c r="AG34" s="24"/>
      <c r="AH34" s="24"/>
      <c r="AI34" s="24"/>
      <c r="AJ34" s="24"/>
      <c r="AK34" s="56"/>
      <c r="AM34" s="51"/>
      <c r="AN34" s="24"/>
      <c r="AO34" s="24"/>
      <c r="AP34" s="24"/>
      <c r="AQ34" s="24"/>
      <c r="AR34" s="24"/>
      <c r="AS34" s="56"/>
      <c r="AU34" s="51"/>
      <c r="AV34" s="24"/>
      <c r="AW34" s="24"/>
      <c r="AX34" s="24"/>
      <c r="AY34" s="24"/>
      <c r="AZ34" s="24"/>
      <c r="BA34" s="56"/>
      <c r="BC34" s="51"/>
      <c r="BD34" s="24"/>
      <c r="BE34" s="24"/>
      <c r="BF34" s="24"/>
      <c r="BG34" s="24"/>
      <c r="BH34" s="24"/>
      <c r="BI34" s="56"/>
      <c r="BK34" s="51"/>
      <c r="BL34" s="24"/>
      <c r="BM34" s="24"/>
      <c r="BN34" s="24"/>
      <c r="BO34" s="24"/>
      <c r="BP34" s="24"/>
      <c r="BQ34" s="56"/>
      <c r="BS34" s="51"/>
      <c r="BT34" s="24"/>
      <c r="BU34" s="24"/>
      <c r="BV34" s="24"/>
      <c r="BW34" s="24"/>
      <c r="BX34" s="24"/>
      <c r="BY34" s="56"/>
      <c r="CA34" s="51"/>
      <c r="CB34" s="24"/>
      <c r="CC34" s="24"/>
      <c r="CD34" s="24"/>
      <c r="CE34" s="24"/>
      <c r="CF34" s="24"/>
      <c r="CG34" s="56"/>
      <c r="CI34" s="51"/>
      <c r="CJ34" s="24"/>
      <c r="CK34" s="24"/>
      <c r="CL34" s="24"/>
      <c r="CM34" s="24"/>
      <c r="CN34" s="24"/>
      <c r="CO34" s="56"/>
      <c r="CQ34" s="51"/>
      <c r="CR34" s="24"/>
      <c r="CS34" s="24"/>
      <c r="CT34" s="24"/>
      <c r="CU34" s="24"/>
      <c r="CV34" s="24"/>
      <c r="CW34" s="56"/>
      <c r="CY34" s="51"/>
      <c r="CZ34" s="24"/>
      <c r="DA34" s="24"/>
      <c r="DB34" s="24"/>
      <c r="DC34" s="24"/>
      <c r="DD34" s="24"/>
      <c r="DE34" s="56"/>
      <c r="DG34" s="51"/>
      <c r="DH34" s="24"/>
      <c r="DI34" s="24"/>
      <c r="DJ34" s="24"/>
      <c r="DK34" s="24"/>
      <c r="DL34" s="24"/>
      <c r="DM34" s="56"/>
      <c r="DO34" s="51"/>
      <c r="DP34" s="24"/>
      <c r="DQ34" s="24"/>
      <c r="DR34" s="24"/>
      <c r="DS34" s="24"/>
      <c r="DT34" s="24"/>
      <c r="DU34" s="56"/>
      <c r="DW34" s="51"/>
      <c r="DX34" s="24"/>
      <c r="DY34" s="24"/>
      <c r="DZ34" s="24"/>
      <c r="EA34" s="24"/>
      <c r="EB34" s="24"/>
      <c r="EC34" s="56"/>
      <c r="EE34" s="51"/>
      <c r="EF34" s="24"/>
      <c r="EG34" s="24"/>
      <c r="EH34" s="24"/>
      <c r="EI34" s="24"/>
      <c r="EJ34" s="24"/>
      <c r="EK34" s="56"/>
      <c r="EM34" s="51"/>
      <c r="EN34" s="24"/>
      <c r="EO34" s="24"/>
      <c r="EP34" s="24"/>
      <c r="EQ34" s="24"/>
      <c r="ER34" s="24"/>
      <c r="ES34" s="56"/>
      <c r="EU34" s="51"/>
      <c r="EV34" s="24"/>
      <c r="EW34" s="24"/>
      <c r="EX34" s="24"/>
      <c r="EY34" s="24"/>
      <c r="EZ34" s="24"/>
      <c r="FA34" s="56"/>
      <c r="FC34" s="51"/>
      <c r="FD34" s="24"/>
      <c r="FE34" s="24"/>
      <c r="FF34" s="24"/>
      <c r="FG34" s="24"/>
      <c r="FH34" s="24"/>
      <c r="FI34" s="56"/>
      <c r="FJ34" s="24"/>
      <c r="FK34" s="51"/>
      <c r="FL34" s="24"/>
      <c r="FM34" s="24"/>
      <c r="FN34" s="24"/>
      <c r="FO34" s="24"/>
      <c r="FP34" s="24"/>
      <c r="FQ34" s="56"/>
      <c r="FR34" s="24"/>
      <c r="FS34" s="51"/>
      <c r="FT34" s="24"/>
      <c r="FU34" s="24"/>
      <c r="FV34" s="24"/>
      <c r="FW34" s="24"/>
      <c r="FX34" s="24"/>
      <c r="FY34" s="56"/>
      <c r="FZ34" s="24"/>
      <c r="GA34" s="51"/>
      <c r="GB34" s="24"/>
      <c r="GC34" s="24"/>
      <c r="GD34" s="24"/>
      <c r="GE34" s="24"/>
      <c r="GF34" s="24"/>
      <c r="GG34" s="56"/>
      <c r="GH34" s="24"/>
      <c r="GI34" s="51"/>
      <c r="GJ34" s="24"/>
      <c r="GK34" s="24"/>
      <c r="GL34" s="24"/>
      <c r="GM34" s="24"/>
      <c r="GN34" s="24"/>
      <c r="GO34" s="56"/>
      <c r="GP34" s="24"/>
      <c r="GQ34" s="73"/>
      <c r="GR34" s="24"/>
      <c r="GS34" s="24"/>
      <c r="GT34" s="24"/>
      <c r="GU34" s="24"/>
      <c r="GV34" s="24"/>
      <c r="GW34" s="31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</row>
    <row r="35" spans="1:225" ht="14.25">
      <c r="A35" s="135"/>
      <c r="B35" s="135"/>
      <c r="C35" s="136" t="s">
        <v>113</v>
      </c>
      <c r="D35" s="115"/>
      <c r="E35" s="134" t="s">
        <v>114</v>
      </c>
      <c r="F35" s="135"/>
      <c r="G35" s="135"/>
      <c r="H35" s="135"/>
      <c r="I35" s="135"/>
      <c r="K35" s="32" t="s">
        <v>110</v>
      </c>
      <c r="L35" s="34">
        <v>1</v>
      </c>
      <c r="M35" s="34">
        <v>0.85</v>
      </c>
      <c r="N35" s="34">
        <v>0.7</v>
      </c>
      <c r="O35" s="34">
        <f>IF($C$19=L35,1,IF($C$19=2,M35,N35))</f>
        <v>0.7</v>
      </c>
      <c r="P35" s="35" t="e">
        <f>O35-(O35-O36)*M5/L8</f>
        <v>#DIV/0!</v>
      </c>
      <c r="Q35" s="23"/>
      <c r="R35" s="34"/>
      <c r="S35" s="49"/>
      <c r="T35" s="23"/>
      <c r="U35" s="23"/>
      <c r="W35" s="51" t="s">
        <v>53</v>
      </c>
      <c r="X35" s="24"/>
      <c r="Y35" s="24"/>
      <c r="Z35" s="24"/>
      <c r="AA35" s="24"/>
      <c r="AB35" s="24"/>
      <c r="AC35" s="56"/>
      <c r="AD35" s="24"/>
      <c r="AE35" s="51" t="s">
        <v>53</v>
      </c>
      <c r="AF35" s="24"/>
      <c r="AG35" s="24"/>
      <c r="AH35" s="24"/>
      <c r="AI35" s="24"/>
      <c r="AJ35" s="24"/>
      <c r="AK35" s="56"/>
      <c r="AM35" s="51" t="s">
        <v>53</v>
      </c>
      <c r="AN35" s="24"/>
      <c r="AO35" s="24"/>
      <c r="AP35" s="24"/>
      <c r="AQ35" s="24"/>
      <c r="AR35" s="24"/>
      <c r="AS35" s="56"/>
      <c r="AU35" s="51" t="s">
        <v>53</v>
      </c>
      <c r="AV35" s="24"/>
      <c r="AW35" s="24"/>
      <c r="AX35" s="24"/>
      <c r="AY35" s="24"/>
      <c r="AZ35" s="24"/>
      <c r="BA35" s="56"/>
      <c r="BC35" s="51" t="s">
        <v>53</v>
      </c>
      <c r="BD35" s="24"/>
      <c r="BE35" s="24"/>
      <c r="BF35" s="24"/>
      <c r="BG35" s="24"/>
      <c r="BH35" s="24"/>
      <c r="BI35" s="56"/>
      <c r="BK35" s="51" t="s">
        <v>53</v>
      </c>
      <c r="BL35" s="24"/>
      <c r="BM35" s="24"/>
      <c r="BN35" s="24"/>
      <c r="BO35" s="24"/>
      <c r="BP35" s="24"/>
      <c r="BQ35" s="56"/>
      <c r="BS35" s="51" t="s">
        <v>53</v>
      </c>
      <c r="BT35" s="24"/>
      <c r="BU35" s="24"/>
      <c r="BV35" s="24"/>
      <c r="BW35" s="24"/>
      <c r="BX35" s="24"/>
      <c r="BY35" s="56"/>
      <c r="CA35" s="51" t="s">
        <v>53</v>
      </c>
      <c r="CB35" s="24"/>
      <c r="CC35" s="24"/>
      <c r="CD35" s="24"/>
      <c r="CE35" s="24"/>
      <c r="CF35" s="24"/>
      <c r="CG35" s="56"/>
      <c r="CI35" s="51" t="s">
        <v>53</v>
      </c>
      <c r="CJ35" s="24"/>
      <c r="CK35" s="24"/>
      <c r="CL35" s="24"/>
      <c r="CM35" s="24"/>
      <c r="CN35" s="24"/>
      <c r="CO35" s="56"/>
      <c r="CQ35" s="51" t="s">
        <v>53</v>
      </c>
      <c r="CR35" s="24"/>
      <c r="CS35" s="24"/>
      <c r="CT35" s="24"/>
      <c r="CU35" s="24"/>
      <c r="CV35" s="24"/>
      <c r="CW35" s="56"/>
      <c r="CY35" s="51" t="s">
        <v>53</v>
      </c>
      <c r="CZ35" s="24"/>
      <c r="DA35" s="24"/>
      <c r="DB35" s="24"/>
      <c r="DC35" s="24"/>
      <c r="DD35" s="24"/>
      <c r="DE35" s="56"/>
      <c r="DG35" s="51" t="s">
        <v>53</v>
      </c>
      <c r="DH35" s="24"/>
      <c r="DI35" s="24"/>
      <c r="DJ35" s="24"/>
      <c r="DK35" s="24"/>
      <c r="DL35" s="24"/>
      <c r="DM35" s="56"/>
      <c r="DO35" s="51" t="s">
        <v>53</v>
      </c>
      <c r="DP35" s="24"/>
      <c r="DQ35" s="24"/>
      <c r="DR35" s="24"/>
      <c r="DS35" s="24"/>
      <c r="DT35" s="24"/>
      <c r="DU35" s="56"/>
      <c r="DW35" s="51" t="s">
        <v>53</v>
      </c>
      <c r="DX35" s="24"/>
      <c r="DY35" s="24"/>
      <c r="DZ35" s="24"/>
      <c r="EA35" s="24"/>
      <c r="EB35" s="24"/>
      <c r="EC35" s="56"/>
      <c r="EE35" s="51" t="s">
        <v>53</v>
      </c>
      <c r="EF35" s="24"/>
      <c r="EG35" s="24"/>
      <c r="EH35" s="24"/>
      <c r="EI35" s="24"/>
      <c r="EJ35" s="24"/>
      <c r="EK35" s="56"/>
      <c r="EM35" s="51" t="s">
        <v>53</v>
      </c>
      <c r="EN35" s="24"/>
      <c r="EO35" s="24"/>
      <c r="EP35" s="24"/>
      <c r="EQ35" s="24"/>
      <c r="ER35" s="24"/>
      <c r="ES35" s="56"/>
      <c r="EU35" s="51" t="s">
        <v>53</v>
      </c>
      <c r="EV35" s="24"/>
      <c r="EW35" s="24"/>
      <c r="EX35" s="24"/>
      <c r="EY35" s="24"/>
      <c r="EZ35" s="24"/>
      <c r="FA35" s="56"/>
      <c r="FC35" s="51" t="s">
        <v>53</v>
      </c>
      <c r="FD35" s="24"/>
      <c r="FE35" s="24"/>
      <c r="FF35" s="24"/>
      <c r="FG35" s="24"/>
      <c r="FH35" s="24"/>
      <c r="FI35" s="56"/>
      <c r="FJ35" s="24"/>
      <c r="FK35" s="51" t="s">
        <v>53</v>
      </c>
      <c r="FL35" s="24"/>
      <c r="FM35" s="24"/>
      <c r="FN35" s="24"/>
      <c r="FO35" s="24"/>
      <c r="FP35" s="24"/>
      <c r="FQ35" s="56"/>
      <c r="FR35" s="24"/>
      <c r="FS35" s="51" t="s">
        <v>53</v>
      </c>
      <c r="FT35" s="24"/>
      <c r="FU35" s="24"/>
      <c r="FV35" s="24"/>
      <c r="FW35" s="24"/>
      <c r="FX35" s="24"/>
      <c r="FY35" s="56"/>
      <c r="FZ35" s="24"/>
      <c r="GA35" s="51" t="s">
        <v>53</v>
      </c>
      <c r="GB35" s="24"/>
      <c r="GC35" s="24"/>
      <c r="GD35" s="24"/>
      <c r="GE35" s="24"/>
      <c r="GF35" s="24"/>
      <c r="GG35" s="56"/>
      <c r="GH35" s="24"/>
      <c r="GI35" s="51" t="s">
        <v>53</v>
      </c>
      <c r="GJ35" s="24"/>
      <c r="GK35" s="24"/>
      <c r="GL35" s="24"/>
      <c r="GM35" s="24"/>
      <c r="GN35" s="24"/>
      <c r="GO35" s="56"/>
      <c r="GP35" s="24"/>
      <c r="GQ35" s="73"/>
      <c r="GR35" s="24"/>
      <c r="GS35" s="24"/>
      <c r="GT35" s="24"/>
      <c r="GU35" s="24"/>
      <c r="GV35" s="24"/>
      <c r="GW35" s="31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</row>
    <row r="36" spans="1:225" ht="14.25">
      <c r="A36" s="135"/>
      <c r="B36" s="135"/>
      <c r="C36" s="136" t="s">
        <v>263</v>
      </c>
      <c r="D36" s="117"/>
      <c r="E36" s="134" t="s">
        <v>114</v>
      </c>
      <c r="F36" s="135"/>
      <c r="G36" s="135"/>
      <c r="H36" s="135"/>
      <c r="I36" s="135"/>
      <c r="K36" s="36" t="s">
        <v>29</v>
      </c>
      <c r="L36" s="38">
        <v>0.9</v>
      </c>
      <c r="M36" s="38">
        <v>0.75</v>
      </c>
      <c r="N36" s="38">
        <v>0.6</v>
      </c>
      <c r="O36" s="38">
        <f>IF($C$19=1,L36,IF($C$19=2,M36,N36))</f>
        <v>0.6</v>
      </c>
      <c r="P36" s="39"/>
      <c r="Q36" s="23"/>
      <c r="R36" s="34"/>
      <c r="S36" s="34"/>
      <c r="T36" s="23"/>
      <c r="U36" s="23"/>
      <c r="W36" s="51">
        <v>1</v>
      </c>
      <c r="X36" s="24">
        <f>$D$24</f>
        <v>0</v>
      </c>
      <c r="Y36" s="52">
        <f>X36/43560</f>
        <v>0</v>
      </c>
      <c r="Z36" s="24">
        <f>IF($D$25&lt;60,60,$D$25)</f>
        <v>60</v>
      </c>
      <c r="AA36" s="31">
        <f>(1000/Z36)-10</f>
        <v>6.666666666666668</v>
      </c>
      <c r="AB36" s="58">
        <f>IF(Y31-(0.2*AA36)&gt;0,(Y31-0.2*AA36)^2/(Y31+0.8*AA36),0)</f>
        <v>0</v>
      </c>
      <c r="AC36" s="54">
        <f>IF(Y31&gt;0,AB36*Y36,0)</f>
        <v>0</v>
      </c>
      <c r="AD36" s="24"/>
      <c r="AE36" s="51">
        <v>1</v>
      </c>
      <c r="AF36" s="24">
        <f>$D$24</f>
        <v>0</v>
      </c>
      <c r="AG36" s="52">
        <f>AF36/43560</f>
        <v>0</v>
      </c>
      <c r="AH36" s="24">
        <f>IF($D$25&lt;60,60,$D$25)</f>
        <v>60</v>
      </c>
      <c r="AI36" s="31">
        <f>(1000/AH36)-10</f>
        <v>6.666666666666668</v>
      </c>
      <c r="AJ36" s="58">
        <f>IF(AG31-(0.2*AI36)&gt;0,(AG31-0.2*AI36)^2/(AG31+0.8*AI36),0)</f>
        <v>0</v>
      </c>
      <c r="AK36" s="54">
        <f>IF(AG31&gt;0,AJ36*AG36,0)</f>
        <v>0</v>
      </c>
      <c r="AM36" s="51">
        <v>1</v>
      </c>
      <c r="AN36" s="24">
        <f>$D$24</f>
        <v>0</v>
      </c>
      <c r="AO36" s="52">
        <f>AN36/43560</f>
        <v>0</v>
      </c>
      <c r="AP36" s="24">
        <f>IF($D$25&lt;60,60,$D$25)</f>
        <v>60</v>
      </c>
      <c r="AQ36" s="31">
        <f>(1000/AP36)-10</f>
        <v>6.666666666666668</v>
      </c>
      <c r="AR36" s="58">
        <f>IF(AO31-(0.2*AQ36)&gt;0,(AO31-0.2*AQ36)^2/(AO31+0.8*AQ36),0)</f>
        <v>0</v>
      </c>
      <c r="AS36" s="54">
        <f>IF(AO31&gt;0,AR36*AO36,0)</f>
        <v>0</v>
      </c>
      <c r="AU36" s="51">
        <v>1</v>
      </c>
      <c r="AV36" s="24">
        <f>$D$24</f>
        <v>0</v>
      </c>
      <c r="AW36" s="52">
        <f>AV36/43560</f>
        <v>0</v>
      </c>
      <c r="AX36" s="24">
        <f>IF($D$25&lt;60,60,$D$25)</f>
        <v>60</v>
      </c>
      <c r="AY36" s="31">
        <f>(1000/AX36)-10</f>
        <v>6.666666666666668</v>
      </c>
      <c r="AZ36" s="58">
        <f>IF(AW31-(0.2*AY36)&gt;0,(AW31-0.2*AY36)^2/(AW31+0.8*AY36),0)</f>
        <v>0</v>
      </c>
      <c r="BA36" s="54">
        <f>IF(AW31&gt;0,AZ36*AW36,0)</f>
        <v>0</v>
      </c>
      <c r="BC36" s="51">
        <v>1</v>
      </c>
      <c r="BD36" s="24">
        <f>$D$24</f>
        <v>0</v>
      </c>
      <c r="BE36" s="52">
        <f>BD36/43560</f>
        <v>0</v>
      </c>
      <c r="BF36" s="24">
        <f>IF($D$25&lt;60,60,$D$25)</f>
        <v>60</v>
      </c>
      <c r="BG36" s="31">
        <f>(1000/BF36)-10</f>
        <v>6.666666666666668</v>
      </c>
      <c r="BH36" s="58">
        <f>IF(BE31-(0.2*BG36)&gt;0,(BE31-0.2*BG36)^2/(BE31+0.8*BG36),0)</f>
        <v>0</v>
      </c>
      <c r="BI36" s="54">
        <f>IF(BE31&gt;0,BH36*BE36,0)</f>
        <v>0</v>
      </c>
      <c r="BK36" s="51">
        <v>1</v>
      </c>
      <c r="BL36" s="24">
        <f>$D$24</f>
        <v>0</v>
      </c>
      <c r="BM36" s="52">
        <f>BL36/43560</f>
        <v>0</v>
      </c>
      <c r="BN36" s="24">
        <f>IF($D$25&lt;60,60,$D$25)</f>
        <v>60</v>
      </c>
      <c r="BO36" s="31">
        <f>(1000/BN36)-10</f>
        <v>6.666666666666668</v>
      </c>
      <c r="BP36" s="58">
        <f>IF(BM31-(0.2*BO36)&gt;0,(BM31-0.2*BO36)^2/(BM31+0.8*BO36),0)</f>
        <v>0</v>
      </c>
      <c r="BQ36" s="54">
        <f>IF(BM31&gt;0,BP36*BM36,0)</f>
        <v>0</v>
      </c>
      <c r="BS36" s="51">
        <v>1</v>
      </c>
      <c r="BT36" s="24">
        <f>$D$24</f>
        <v>0</v>
      </c>
      <c r="BU36" s="52">
        <f>BT36/43560</f>
        <v>0</v>
      </c>
      <c r="BV36" s="24">
        <f>IF($D$25&lt;60,60,$D$25)</f>
        <v>60</v>
      </c>
      <c r="BW36" s="31">
        <f>(1000/BV36)-10</f>
        <v>6.666666666666668</v>
      </c>
      <c r="BX36" s="58">
        <f>IF(BU31-(0.2*BW36)&gt;0,(BU31-0.2*BW36)^2/(BU31+0.8*BW36),0)</f>
        <v>0</v>
      </c>
      <c r="BY36" s="54">
        <f>IF(BU31&gt;0,BX36*BU36,0)</f>
        <v>0</v>
      </c>
      <c r="CA36" s="51">
        <v>1</v>
      </c>
      <c r="CB36" s="24">
        <f>$D$24</f>
        <v>0</v>
      </c>
      <c r="CC36" s="52">
        <f>CB36/43560</f>
        <v>0</v>
      </c>
      <c r="CD36" s="24">
        <f>IF($D$25&lt;60,60,$D$25)</f>
        <v>60</v>
      </c>
      <c r="CE36" s="31">
        <f>(1000/CD36)-10</f>
        <v>6.666666666666668</v>
      </c>
      <c r="CF36" s="58">
        <f>IF(CC31-(0.2*CE36)&gt;0,(CC31-0.2*CE36)^2/(CC31+0.8*CE36),0)</f>
        <v>0.041429451632778724</v>
      </c>
      <c r="CG36" s="54">
        <f>IF(CC31&gt;0,CF36*CC36,0)</f>
        <v>0</v>
      </c>
      <c r="CI36" s="51">
        <v>1</v>
      </c>
      <c r="CJ36" s="24">
        <f>$D$24</f>
        <v>0</v>
      </c>
      <c r="CK36" s="52">
        <f>CJ36/43560</f>
        <v>0</v>
      </c>
      <c r="CL36" s="24">
        <f>IF($D$25&lt;60,60,$D$25)</f>
        <v>60</v>
      </c>
      <c r="CM36" s="31">
        <f>(1000/CL36)-10</f>
        <v>6.666666666666668</v>
      </c>
      <c r="CN36" s="58">
        <f>IF(CK31-(0.2*CM36)&gt;0,(CK31-0.2*CM36)^2/(CK31+0.8*CM36),0)</f>
        <v>0</v>
      </c>
      <c r="CO36" s="54">
        <f>IF(CK31&gt;0,CN36*CK36,0)</f>
        <v>0</v>
      </c>
      <c r="CQ36" s="51">
        <v>1</v>
      </c>
      <c r="CR36" s="24">
        <f>$D$24</f>
        <v>0</v>
      </c>
      <c r="CS36" s="52">
        <f>CR36/43560</f>
        <v>0</v>
      </c>
      <c r="CT36" s="24">
        <f>IF($D$25&lt;60,60,$D$25)</f>
        <v>60</v>
      </c>
      <c r="CU36" s="31">
        <f>(1000/CT36)-10</f>
        <v>6.666666666666668</v>
      </c>
      <c r="CV36" s="58">
        <f>IF(CS31-(0.2*CU36)&gt;0,(CS31-0.2*CU36)^2/(CS31+0.8*CU36),0)</f>
        <v>0</v>
      </c>
      <c r="CW36" s="54">
        <f>IF(CS31&gt;0,CV36*CS36,0)</f>
        <v>0</v>
      </c>
      <c r="CY36" s="51">
        <v>1</v>
      </c>
      <c r="CZ36" s="24">
        <f>$D$24</f>
        <v>0</v>
      </c>
      <c r="DA36" s="52">
        <f>CZ36/43560</f>
        <v>0</v>
      </c>
      <c r="DB36" s="24">
        <f>IF($D$25&lt;60,60,$D$25)</f>
        <v>60</v>
      </c>
      <c r="DC36" s="31">
        <f>(1000/DB36)-10</f>
        <v>6.666666666666668</v>
      </c>
      <c r="DD36" s="58">
        <f>IF(DA31-(0.2*DC36)&gt;0,(DA31-0.2*DC36)^2/(DA31+0.8*DC36),0)</f>
        <v>0</v>
      </c>
      <c r="DE36" s="54">
        <f>IF(DA31&gt;0,DD36*DA36,0)</f>
        <v>0</v>
      </c>
      <c r="DG36" s="51">
        <v>1</v>
      </c>
      <c r="DH36" s="24">
        <f>$D$24</f>
        <v>0</v>
      </c>
      <c r="DI36" s="52">
        <f>DH36/43560</f>
        <v>0</v>
      </c>
      <c r="DJ36" s="24">
        <f>IF($D$25&lt;60,60,$D$25)</f>
        <v>60</v>
      </c>
      <c r="DK36" s="31">
        <f>(1000/DJ36)-10</f>
        <v>6.666666666666668</v>
      </c>
      <c r="DL36" s="58">
        <f>IF(DI31-(0.2*DK36)&gt;0,(DI31-0.2*DK36)^2/(DI31+0.8*DK36),0)</f>
        <v>0</v>
      </c>
      <c r="DM36" s="54">
        <f>IF(DI31&gt;0,DL36*DI36,0)</f>
        <v>0</v>
      </c>
      <c r="DO36" s="51">
        <v>1</v>
      </c>
      <c r="DP36" s="24">
        <f>$D$24</f>
        <v>0</v>
      </c>
      <c r="DQ36" s="52">
        <f>DP36/43560</f>
        <v>0</v>
      </c>
      <c r="DR36" s="24">
        <f>IF($D$25&lt;60,60,$D$25)</f>
        <v>60</v>
      </c>
      <c r="DS36" s="31">
        <f>(1000/DR36)-10</f>
        <v>6.666666666666668</v>
      </c>
      <c r="DT36" s="58">
        <f>IF(DQ31-(0.2*DS36)&gt;0,(DQ31-0.2*DS36)^2/(DQ31+0.8*DS36),0)</f>
        <v>0</v>
      </c>
      <c r="DU36" s="54">
        <f>IF(DQ31&gt;0,DT36*DQ36,0)</f>
        <v>0</v>
      </c>
      <c r="DW36" s="51">
        <v>1</v>
      </c>
      <c r="DX36" s="24">
        <f>$D$24</f>
        <v>0</v>
      </c>
      <c r="DY36" s="52">
        <f>DX36/43560</f>
        <v>0</v>
      </c>
      <c r="DZ36" s="24">
        <f>IF($D$25&lt;60,60,$D$25)</f>
        <v>60</v>
      </c>
      <c r="EA36" s="31">
        <f>(1000/DZ36)-10</f>
        <v>6.666666666666668</v>
      </c>
      <c r="EB36" s="58">
        <f>IF(DY31-(0.2*EA36)&gt;0,(DY31-0.2*EA36)^2/(DY31+0.8*EA36),0)</f>
        <v>0</v>
      </c>
      <c r="EC36" s="54">
        <f>IF(DY31&gt;0,EB36*DY36,0)</f>
        <v>0</v>
      </c>
      <c r="EE36" s="51">
        <v>1</v>
      </c>
      <c r="EF36" s="24">
        <f>$D$24</f>
        <v>0</v>
      </c>
      <c r="EG36" s="52">
        <f>EF36/43560</f>
        <v>0</v>
      </c>
      <c r="EH36" s="24">
        <f>IF($D$25&lt;60,60,$D$25)</f>
        <v>60</v>
      </c>
      <c r="EI36" s="31">
        <f>(1000/EH36)-10</f>
        <v>6.666666666666668</v>
      </c>
      <c r="EJ36" s="58">
        <f>IF(EG31-(0.2*EI36)&gt;0,(EG31-0.2*EI36)^2/(EG31+0.8*EI36),0)</f>
        <v>0</v>
      </c>
      <c r="EK36" s="54">
        <f>IF(EG31&gt;0,EJ36*EG36,0)</f>
        <v>0</v>
      </c>
      <c r="EM36" s="51">
        <v>1</v>
      </c>
      <c r="EN36" s="24">
        <f>$D$24</f>
        <v>0</v>
      </c>
      <c r="EO36" s="52">
        <f>EN36/43560</f>
        <v>0</v>
      </c>
      <c r="EP36" s="24">
        <f>IF($D$25&lt;60,60,$D$25)</f>
        <v>60</v>
      </c>
      <c r="EQ36" s="31">
        <f>(1000/EP36)-10</f>
        <v>6.666666666666668</v>
      </c>
      <c r="ER36" s="58">
        <f>IF(EO31-(0.2*EQ36)&gt;0,(EO31-0.2*EQ36)^2/(EO31+0.8*EQ36),0)</f>
        <v>0</v>
      </c>
      <c r="ES36" s="54">
        <f>IF(EO31&gt;0,ER36*EO36,0)</f>
        <v>0</v>
      </c>
      <c r="EU36" s="51">
        <v>1</v>
      </c>
      <c r="EV36" s="24">
        <f>$D$24</f>
        <v>0</v>
      </c>
      <c r="EW36" s="52">
        <f>EV36/43560</f>
        <v>0</v>
      </c>
      <c r="EX36" s="24">
        <f>IF($D$25&lt;60,60,$D$25)</f>
        <v>60</v>
      </c>
      <c r="EY36" s="31">
        <f>(1000/EX36)-10</f>
        <v>6.666666666666668</v>
      </c>
      <c r="EZ36" s="58">
        <f>IF(EW31-(0.2*EY36)&gt;0,(EW31-0.2*EY36)^2/(EW31+0.8*EY36),0)</f>
        <v>0</v>
      </c>
      <c r="FA36" s="54">
        <f>IF(EW31&gt;0,EZ36*EW36,0)</f>
        <v>0</v>
      </c>
      <c r="FC36" s="51">
        <v>1</v>
      </c>
      <c r="FD36" s="24">
        <f>$D$24</f>
        <v>0</v>
      </c>
      <c r="FE36" s="52">
        <f>FD36/43560</f>
        <v>0</v>
      </c>
      <c r="FF36" s="24">
        <f>IF($D$25&lt;60,60,$D$25)</f>
        <v>60</v>
      </c>
      <c r="FG36" s="31">
        <f>(1000/FF36)-10</f>
        <v>6.666666666666668</v>
      </c>
      <c r="FH36" s="58">
        <f>IF(FE31-(0.2*FG36)&gt;0,(FE31-0.2*FG36)^2/(FE31+0.8*FG36),0)</f>
        <v>0</v>
      </c>
      <c r="FI36" s="54">
        <f>IF(FE31&gt;0,FH36*FE36,0)</f>
        <v>0</v>
      </c>
      <c r="FJ36" s="45"/>
      <c r="FK36" s="51">
        <v>1</v>
      </c>
      <c r="FL36" s="24">
        <f>$D$24</f>
        <v>0</v>
      </c>
      <c r="FM36" s="52">
        <f>FL36/43560</f>
        <v>0</v>
      </c>
      <c r="FN36" s="24">
        <f>IF($D$25&lt;60,60,$D$25)</f>
        <v>60</v>
      </c>
      <c r="FO36" s="31">
        <f>(1000/FN36)-10</f>
        <v>6.666666666666668</v>
      </c>
      <c r="FP36" s="58">
        <f>IF(FM31-(0.2*FO36)&gt;0,(FM31-0.2*FO36)^2/(FM31+0.8*FO36),0)</f>
        <v>0</v>
      </c>
      <c r="FQ36" s="54">
        <f>IF(FM31&gt;0,FP36*FM36,0)</f>
        <v>0</v>
      </c>
      <c r="FR36" s="45"/>
      <c r="FS36" s="51">
        <v>1</v>
      </c>
      <c r="FT36" s="24">
        <f>$D$24</f>
        <v>0</v>
      </c>
      <c r="FU36" s="52">
        <f>FT36/43560</f>
        <v>0</v>
      </c>
      <c r="FV36" s="24">
        <f>IF($D$25&lt;60,60,$D$25)</f>
        <v>60</v>
      </c>
      <c r="FW36" s="31">
        <f>(1000/FV36)-10</f>
        <v>6.666666666666668</v>
      </c>
      <c r="FX36" s="58">
        <f>IF(FU31-(0.2*FW36)&gt;0,(FU31-0.2*FW36)^2/(FU31+0.8*FW36),0)</f>
        <v>0</v>
      </c>
      <c r="FY36" s="54">
        <f>IF(FU31&gt;0,FX36*FU36,0)</f>
        <v>0</v>
      </c>
      <c r="FZ36" s="45"/>
      <c r="GA36" s="51">
        <v>1</v>
      </c>
      <c r="GB36" s="24">
        <f>$D$24</f>
        <v>0</v>
      </c>
      <c r="GC36" s="52">
        <f>GB36/43560</f>
        <v>0</v>
      </c>
      <c r="GD36" s="24">
        <f>IF($D$25&lt;60,60,$D$25)</f>
        <v>60</v>
      </c>
      <c r="GE36" s="31">
        <f>(1000/GD36)-10</f>
        <v>6.666666666666668</v>
      </c>
      <c r="GF36" s="58">
        <f>IF(GC31-(0.2*GE36)&gt;0,(GC31-0.2*GE36)^2/(GC31+0.8*GE36),0)</f>
        <v>0</v>
      </c>
      <c r="GG36" s="54">
        <f>IF(GC31&gt;0,GF36*GC36,0)</f>
        <v>0</v>
      </c>
      <c r="GH36" s="45"/>
      <c r="GI36" s="51">
        <v>1</v>
      </c>
      <c r="GJ36" s="24">
        <f>$D$24</f>
        <v>0</v>
      </c>
      <c r="GK36" s="52">
        <f>GJ36/43560</f>
        <v>0</v>
      </c>
      <c r="GL36" s="24">
        <f>IF($D$25&lt;60,60,$D$25)</f>
        <v>60</v>
      </c>
      <c r="GM36" s="31">
        <f>(1000/GL36)-10</f>
        <v>6.666666666666668</v>
      </c>
      <c r="GN36" s="58">
        <f>IF(GK31-(0.2*GM36)&gt;0,(GK31-0.2*GM36)^2/(GK31+0.8*GM36),0)</f>
        <v>0</v>
      </c>
      <c r="GO36" s="54">
        <f>IF(GK31&gt;0,GN36*GK36,0)</f>
        <v>0</v>
      </c>
      <c r="GP36" s="45"/>
      <c r="GQ36" s="93"/>
      <c r="GR36" s="45"/>
      <c r="GS36" s="94"/>
      <c r="GT36" s="45"/>
      <c r="GU36" s="95"/>
      <c r="GV36" s="95"/>
      <c r="GW36" s="95"/>
      <c r="GX36" s="45"/>
      <c r="GY36" s="45"/>
      <c r="GZ36" s="45"/>
      <c r="HA36" s="45"/>
      <c r="HB36" s="45"/>
      <c r="HC36" s="45"/>
      <c r="HD36" s="45"/>
      <c r="HE36" s="45"/>
      <c r="HF36" s="45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</row>
    <row r="37" spans="1:225" ht="14.25">
      <c r="A37" s="135"/>
      <c r="B37" s="135"/>
      <c r="C37" s="136" t="s">
        <v>280</v>
      </c>
      <c r="D37" s="135"/>
      <c r="E37" s="137"/>
      <c r="F37" s="134"/>
      <c r="G37" s="172"/>
      <c r="H37" s="135"/>
      <c r="I37" s="135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W37" s="51">
        <v>2</v>
      </c>
      <c r="X37" s="24">
        <f>$F$24</f>
        <v>0</v>
      </c>
      <c r="Y37" s="52">
        <f>X37/43560</f>
        <v>0</v>
      </c>
      <c r="Z37" s="24">
        <f>IF($F$25&lt;60,60,$F$25)</f>
        <v>60</v>
      </c>
      <c r="AA37" s="31">
        <f>(1000/Z37)-10</f>
        <v>6.666666666666668</v>
      </c>
      <c r="AB37" s="58">
        <f>IF(Y31-(0.2*AA37)&gt;0,(Y31-0.2*AA37)^2/(Y31+0.8*AA37),0)</f>
        <v>0</v>
      </c>
      <c r="AC37" s="54">
        <f>IF(Y31&gt;0,AB37*Y37,0)</f>
        <v>0</v>
      </c>
      <c r="AD37" s="24"/>
      <c r="AE37" s="51">
        <v>2</v>
      </c>
      <c r="AF37" s="24">
        <f>$F$24</f>
        <v>0</v>
      </c>
      <c r="AG37" s="52">
        <f>AF37/43560</f>
        <v>0</v>
      </c>
      <c r="AH37" s="24">
        <f>IF($F$25&lt;60,60,$F$25)</f>
        <v>60</v>
      </c>
      <c r="AI37" s="31">
        <f>(1000/AH37)-10</f>
        <v>6.666666666666668</v>
      </c>
      <c r="AJ37" s="58">
        <f>IF(AG31-(0.2*AI37)&gt;0,(AG31-0.2*AI37)^2/(AG31+0.8*AI37),0)</f>
        <v>0</v>
      </c>
      <c r="AK37" s="54">
        <f>IF(AG31&gt;0,AJ37*AG37,0)</f>
        <v>0</v>
      </c>
      <c r="AM37" s="51">
        <v>2</v>
      </c>
      <c r="AN37" s="24">
        <f>$F$24</f>
        <v>0</v>
      </c>
      <c r="AO37" s="52">
        <f>AN37/43560</f>
        <v>0</v>
      </c>
      <c r="AP37" s="24">
        <f>IF($F$25&lt;60,60,$F$25)</f>
        <v>60</v>
      </c>
      <c r="AQ37" s="31">
        <f>(1000/AP37)-10</f>
        <v>6.666666666666668</v>
      </c>
      <c r="AR37" s="58">
        <f>IF(AO31-(0.2*AQ37)&gt;0,(AO31-0.2*AQ37)^2/(AO31+0.8*AQ37),0)</f>
        <v>0</v>
      </c>
      <c r="AS37" s="54">
        <f>IF(AO31&gt;0,AR37*AO37,0)</f>
        <v>0</v>
      </c>
      <c r="AU37" s="51">
        <v>2</v>
      </c>
      <c r="AV37" s="24">
        <f>$F$24</f>
        <v>0</v>
      </c>
      <c r="AW37" s="52">
        <f>AV37/43560</f>
        <v>0</v>
      </c>
      <c r="AX37" s="24">
        <f>IF($F$25&lt;60,60,$F$25)</f>
        <v>60</v>
      </c>
      <c r="AY37" s="31">
        <f>(1000/AX37)-10</f>
        <v>6.666666666666668</v>
      </c>
      <c r="AZ37" s="58">
        <f>IF(AW31-(0.2*AY37)&gt;0,(AW31-0.2*AY37)^2/(AW31+0.8*AY37),0)</f>
        <v>0</v>
      </c>
      <c r="BA37" s="54">
        <f>IF(AW31&gt;0,AZ37*AW37,0)</f>
        <v>0</v>
      </c>
      <c r="BC37" s="51">
        <v>2</v>
      </c>
      <c r="BD37" s="24">
        <f>$F$24</f>
        <v>0</v>
      </c>
      <c r="BE37" s="52">
        <f>BD37/43560</f>
        <v>0</v>
      </c>
      <c r="BF37" s="24">
        <f>IF($F$25&lt;60,60,$F$25)</f>
        <v>60</v>
      </c>
      <c r="BG37" s="31">
        <f>(1000/BF37)-10</f>
        <v>6.666666666666668</v>
      </c>
      <c r="BH37" s="58">
        <f>IF(BE31-(0.2*BG37)&gt;0,(BE31-0.2*BG37)^2/(BE31+0.8*BG37),0)</f>
        <v>0</v>
      </c>
      <c r="BI37" s="54">
        <f>IF(BE31&gt;0,BH37*BE37,0)</f>
        <v>0</v>
      </c>
      <c r="BK37" s="51">
        <v>2</v>
      </c>
      <c r="BL37" s="24">
        <f>$F$24</f>
        <v>0</v>
      </c>
      <c r="BM37" s="52">
        <f>BL37/43560</f>
        <v>0</v>
      </c>
      <c r="BN37" s="24">
        <f>IF($F$25&lt;60,60,$F$25)</f>
        <v>60</v>
      </c>
      <c r="BO37" s="31">
        <f>(1000/BN37)-10</f>
        <v>6.666666666666668</v>
      </c>
      <c r="BP37" s="58">
        <f>IF(BM31-(0.2*BO37)&gt;0,(BM31-0.2*BO37)^2/(BM31+0.8*BO37),0)</f>
        <v>0</v>
      </c>
      <c r="BQ37" s="54">
        <f>IF(BM31&gt;0,BP37*BM37,0)</f>
        <v>0</v>
      </c>
      <c r="BS37" s="51">
        <v>2</v>
      </c>
      <c r="BT37" s="24">
        <f>$F$24</f>
        <v>0</v>
      </c>
      <c r="BU37" s="52">
        <f>BT37/43560</f>
        <v>0</v>
      </c>
      <c r="BV37" s="24">
        <f>IF($F$25&lt;60,60,$F$25)</f>
        <v>60</v>
      </c>
      <c r="BW37" s="31">
        <f>(1000/BV37)-10</f>
        <v>6.666666666666668</v>
      </c>
      <c r="BX37" s="58">
        <f>IF(BU31-(0.2*BW37)&gt;0,(BU31-0.2*BW37)^2/(BU31+0.8*BW37),0)</f>
        <v>0</v>
      </c>
      <c r="BY37" s="54">
        <f>IF(BU31&gt;0,BX37*BU37,0)</f>
        <v>0</v>
      </c>
      <c r="CA37" s="51">
        <v>2</v>
      </c>
      <c r="CB37" s="24">
        <f>$F$24</f>
        <v>0</v>
      </c>
      <c r="CC37" s="52">
        <f>CB37/43560</f>
        <v>0</v>
      </c>
      <c r="CD37" s="24">
        <f>IF($F$25&lt;60,60,$F$25)</f>
        <v>60</v>
      </c>
      <c r="CE37" s="31">
        <f>(1000/CD37)-10</f>
        <v>6.666666666666668</v>
      </c>
      <c r="CF37" s="58">
        <f>IF(CC31-(0.2*CE37)&gt;0,(CC31-0.2*CE37)^2/(CC31+0.8*CE37),0)</f>
        <v>0.041429451632778724</v>
      </c>
      <c r="CG37" s="54">
        <f>IF(CC31&gt;0,CF37*CC37,0)</f>
        <v>0</v>
      </c>
      <c r="CI37" s="51">
        <v>2</v>
      </c>
      <c r="CJ37" s="24">
        <f>$F$24</f>
        <v>0</v>
      </c>
      <c r="CK37" s="52">
        <f>CJ37/43560</f>
        <v>0</v>
      </c>
      <c r="CL37" s="24">
        <f>IF($F$25&lt;60,60,$F$25)</f>
        <v>60</v>
      </c>
      <c r="CM37" s="31">
        <f>(1000/CL37)-10</f>
        <v>6.666666666666668</v>
      </c>
      <c r="CN37" s="58">
        <f>IF(CK31-(0.2*CM37)&gt;0,(CK31-0.2*CM37)^2/(CK31+0.8*CM37),0)</f>
        <v>0</v>
      </c>
      <c r="CO37" s="54">
        <f>IF(CK31&gt;0,CN37*CK37,0)</f>
        <v>0</v>
      </c>
      <c r="CQ37" s="51">
        <v>2</v>
      </c>
      <c r="CR37" s="24">
        <f>$F$24</f>
        <v>0</v>
      </c>
      <c r="CS37" s="52">
        <f>CR37/43560</f>
        <v>0</v>
      </c>
      <c r="CT37" s="24">
        <f>IF($F$25&lt;60,60,$F$25)</f>
        <v>60</v>
      </c>
      <c r="CU37" s="31">
        <f>(1000/CT37)-10</f>
        <v>6.666666666666668</v>
      </c>
      <c r="CV37" s="58">
        <f>IF(CS31-(0.2*CU37)&gt;0,(CS31-0.2*CU37)^2/(CS31+0.8*CU37),0)</f>
        <v>0</v>
      </c>
      <c r="CW37" s="54">
        <f>IF(CS31&gt;0,CV37*CS37,0)</f>
        <v>0</v>
      </c>
      <c r="CY37" s="51">
        <v>2</v>
      </c>
      <c r="CZ37" s="24">
        <f>$F$24</f>
        <v>0</v>
      </c>
      <c r="DA37" s="52">
        <f>CZ37/43560</f>
        <v>0</v>
      </c>
      <c r="DB37" s="24">
        <f>IF($F$25&lt;60,60,$F$25)</f>
        <v>60</v>
      </c>
      <c r="DC37" s="31">
        <f>(1000/DB37)-10</f>
        <v>6.666666666666668</v>
      </c>
      <c r="DD37" s="58">
        <f>IF(DA31-(0.2*DC37)&gt;0,(DA31-0.2*DC37)^2/(DA31+0.8*DC37),0)</f>
        <v>0</v>
      </c>
      <c r="DE37" s="54">
        <f>IF(DA31&gt;0,DD37*DA37,0)</f>
        <v>0</v>
      </c>
      <c r="DG37" s="51">
        <v>2</v>
      </c>
      <c r="DH37" s="24">
        <f>$F$24</f>
        <v>0</v>
      </c>
      <c r="DI37" s="52">
        <f>DH37/43560</f>
        <v>0</v>
      </c>
      <c r="DJ37" s="24">
        <f>IF($F$25&lt;60,60,$F$25)</f>
        <v>60</v>
      </c>
      <c r="DK37" s="31">
        <f>(1000/DJ37)-10</f>
        <v>6.666666666666668</v>
      </c>
      <c r="DL37" s="58">
        <f>IF(DI31-(0.2*DK37)&gt;0,(DI31-0.2*DK37)^2/(DI31+0.8*DK37),0)</f>
        <v>0</v>
      </c>
      <c r="DM37" s="54">
        <f>IF(DI31&gt;0,DL37*DI37,0)</f>
        <v>0</v>
      </c>
      <c r="DO37" s="51">
        <v>2</v>
      </c>
      <c r="DP37" s="24">
        <f>$F$24</f>
        <v>0</v>
      </c>
      <c r="DQ37" s="52">
        <f>DP37/43560</f>
        <v>0</v>
      </c>
      <c r="DR37" s="24">
        <f>IF($F$25&lt;60,60,$F$25)</f>
        <v>60</v>
      </c>
      <c r="DS37" s="31">
        <f>(1000/DR37)-10</f>
        <v>6.666666666666668</v>
      </c>
      <c r="DT37" s="58">
        <f>IF(DQ31-(0.2*DS37)&gt;0,(DQ31-0.2*DS37)^2/(DQ31+0.8*DS37),0)</f>
        <v>0</v>
      </c>
      <c r="DU37" s="54">
        <f>IF(DQ31&gt;0,DT37*DQ37,0)</f>
        <v>0</v>
      </c>
      <c r="DW37" s="51">
        <v>2</v>
      </c>
      <c r="DX37" s="24">
        <f>$F$24</f>
        <v>0</v>
      </c>
      <c r="DY37" s="52">
        <f>DX37/43560</f>
        <v>0</v>
      </c>
      <c r="DZ37" s="24">
        <f>IF($F$25&lt;60,60,$F$25)</f>
        <v>60</v>
      </c>
      <c r="EA37" s="31">
        <f>(1000/DZ37)-10</f>
        <v>6.666666666666668</v>
      </c>
      <c r="EB37" s="58">
        <f>IF(DY31-(0.2*EA37)&gt;0,(DY31-0.2*EA37)^2/(DY31+0.8*EA37),0)</f>
        <v>0</v>
      </c>
      <c r="EC37" s="54">
        <f>IF(DY31&gt;0,EB37*DY37,0)</f>
        <v>0</v>
      </c>
      <c r="EE37" s="51">
        <v>2</v>
      </c>
      <c r="EF37" s="24">
        <f>$F$24</f>
        <v>0</v>
      </c>
      <c r="EG37" s="52">
        <f>EF37/43560</f>
        <v>0</v>
      </c>
      <c r="EH37" s="24">
        <f>IF($F$25&lt;60,60,$F$25)</f>
        <v>60</v>
      </c>
      <c r="EI37" s="31">
        <f>(1000/EH37)-10</f>
        <v>6.666666666666668</v>
      </c>
      <c r="EJ37" s="58">
        <f>IF(EG31-(0.2*EI37)&gt;0,(EG31-0.2*EI37)^2/(EG31+0.8*EI37),0)</f>
        <v>0</v>
      </c>
      <c r="EK37" s="54">
        <f>IF(EG31&gt;0,EJ37*EG37,0)</f>
        <v>0</v>
      </c>
      <c r="EM37" s="51">
        <v>2</v>
      </c>
      <c r="EN37" s="24">
        <f>$F$24</f>
        <v>0</v>
      </c>
      <c r="EO37" s="52">
        <f>EN37/43560</f>
        <v>0</v>
      </c>
      <c r="EP37" s="24">
        <f>IF($F$25&lt;60,60,$F$25)</f>
        <v>60</v>
      </c>
      <c r="EQ37" s="31">
        <f>(1000/EP37)-10</f>
        <v>6.666666666666668</v>
      </c>
      <c r="ER37" s="58">
        <f>IF(EO31-(0.2*EQ37)&gt;0,(EO31-0.2*EQ37)^2/(EO31+0.8*EQ37),0)</f>
        <v>0</v>
      </c>
      <c r="ES37" s="54">
        <f>IF(EO31&gt;0,ER37*EO37,0)</f>
        <v>0</v>
      </c>
      <c r="EU37" s="51">
        <v>2</v>
      </c>
      <c r="EV37" s="24">
        <f>$F$24</f>
        <v>0</v>
      </c>
      <c r="EW37" s="52">
        <f>EV37/43560</f>
        <v>0</v>
      </c>
      <c r="EX37" s="24">
        <f>IF($F$25&lt;60,60,$F$25)</f>
        <v>60</v>
      </c>
      <c r="EY37" s="31">
        <f>(1000/EX37)-10</f>
        <v>6.666666666666668</v>
      </c>
      <c r="EZ37" s="58">
        <f>IF(EW31-(0.2*EY37)&gt;0,(EW31-0.2*EY37)^2/(EW31+0.8*EY37),0)</f>
        <v>0</v>
      </c>
      <c r="FA37" s="54">
        <f>IF(EW31&gt;0,EZ37*EW37,0)</f>
        <v>0</v>
      </c>
      <c r="FC37" s="51">
        <v>2</v>
      </c>
      <c r="FD37" s="24">
        <f>$F$24</f>
        <v>0</v>
      </c>
      <c r="FE37" s="52">
        <f>FD37/43560</f>
        <v>0</v>
      </c>
      <c r="FF37" s="24">
        <f>IF($F$25&lt;60,60,$F$25)</f>
        <v>60</v>
      </c>
      <c r="FG37" s="31">
        <f>(1000/FF37)-10</f>
        <v>6.666666666666668</v>
      </c>
      <c r="FH37" s="58">
        <f>IF(FE31-(0.2*FG37)&gt;0,(FE31-0.2*FG37)^2/(FE31+0.8*FG37),0)</f>
        <v>0</v>
      </c>
      <c r="FI37" s="54">
        <f>IF(FE31&gt;0,FH37*FE37,0)</f>
        <v>0</v>
      </c>
      <c r="FJ37" s="45"/>
      <c r="FK37" s="51">
        <v>2</v>
      </c>
      <c r="FL37" s="24">
        <f>$F$24</f>
        <v>0</v>
      </c>
      <c r="FM37" s="52">
        <f>FL37/43560</f>
        <v>0</v>
      </c>
      <c r="FN37" s="24">
        <f>IF($F$25&lt;60,60,$F$25)</f>
        <v>60</v>
      </c>
      <c r="FO37" s="31">
        <f>(1000/FN37)-10</f>
        <v>6.666666666666668</v>
      </c>
      <c r="FP37" s="58">
        <f>IF(FM31-(0.2*FO37)&gt;0,(FM31-0.2*FO37)^2/(FM31+0.8*FO37),0)</f>
        <v>0</v>
      </c>
      <c r="FQ37" s="54">
        <f>IF(FM31&gt;0,FP37*FM37,0)</f>
        <v>0</v>
      </c>
      <c r="FR37" s="45"/>
      <c r="FS37" s="51">
        <v>2</v>
      </c>
      <c r="FT37" s="24">
        <f>$F$24</f>
        <v>0</v>
      </c>
      <c r="FU37" s="52">
        <f>FT37/43560</f>
        <v>0</v>
      </c>
      <c r="FV37" s="24">
        <f>IF($F$25&lt;60,60,$F$25)</f>
        <v>60</v>
      </c>
      <c r="FW37" s="31">
        <f>(1000/FV37)-10</f>
        <v>6.666666666666668</v>
      </c>
      <c r="FX37" s="58">
        <f>IF(FU31-(0.2*FW37)&gt;0,(FU31-0.2*FW37)^2/(FU31+0.8*FW37),0)</f>
        <v>0</v>
      </c>
      <c r="FY37" s="54">
        <f>IF(FU31&gt;0,FX37*FU37,0)</f>
        <v>0</v>
      </c>
      <c r="FZ37" s="45"/>
      <c r="GA37" s="51">
        <v>2</v>
      </c>
      <c r="GB37" s="24">
        <f>$F$24</f>
        <v>0</v>
      </c>
      <c r="GC37" s="52">
        <f>GB37/43560</f>
        <v>0</v>
      </c>
      <c r="GD37" s="24">
        <f>IF($F$25&lt;60,60,$F$25)</f>
        <v>60</v>
      </c>
      <c r="GE37" s="31">
        <f>(1000/GD37)-10</f>
        <v>6.666666666666668</v>
      </c>
      <c r="GF37" s="58">
        <f>IF(GC31-(0.2*GE37)&gt;0,(GC31-0.2*GE37)^2/(GC31+0.8*GE37),0)</f>
        <v>0</v>
      </c>
      <c r="GG37" s="54">
        <f>IF(GC31&gt;0,GF37*GC37,0)</f>
        <v>0</v>
      </c>
      <c r="GH37" s="45"/>
      <c r="GI37" s="51">
        <v>2</v>
      </c>
      <c r="GJ37" s="24">
        <f>$F$24</f>
        <v>0</v>
      </c>
      <c r="GK37" s="52">
        <f>GJ37/43560</f>
        <v>0</v>
      </c>
      <c r="GL37" s="24">
        <f>IF($F$25&lt;60,60,$F$25)</f>
        <v>60</v>
      </c>
      <c r="GM37" s="31">
        <f>(1000/GL37)-10</f>
        <v>6.666666666666668</v>
      </c>
      <c r="GN37" s="58">
        <f>IF(GK31-(0.2*GM37)&gt;0,(GK31-0.2*GM37)^2/(GK31+0.8*GM37),0)</f>
        <v>0</v>
      </c>
      <c r="GO37" s="54">
        <f>IF(GK31&gt;0,GN37*GK37,0)</f>
        <v>0</v>
      </c>
      <c r="GP37" s="45"/>
      <c r="GQ37" s="93"/>
      <c r="GR37" s="45"/>
      <c r="GS37" s="94"/>
      <c r="GT37" s="45"/>
      <c r="GU37" s="95"/>
      <c r="GV37" s="95"/>
      <c r="GW37" s="95"/>
      <c r="GX37" s="45"/>
      <c r="GY37" s="45"/>
      <c r="GZ37" s="45"/>
      <c r="HA37" s="45"/>
      <c r="HB37" s="45"/>
      <c r="HC37" s="45"/>
      <c r="HD37" s="45"/>
      <c r="HE37" s="45"/>
      <c r="HF37" s="45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</row>
    <row r="38" spans="1:225" ht="14.25">
      <c r="A38" s="135"/>
      <c r="B38" s="135"/>
      <c r="C38" s="135"/>
      <c r="D38" s="135"/>
      <c r="E38" s="135"/>
      <c r="F38" s="135"/>
      <c r="G38" s="171"/>
      <c r="H38" s="173"/>
      <c r="I38" s="135"/>
      <c r="K38" s="23" t="s">
        <v>116</v>
      </c>
      <c r="L38" s="23" t="s">
        <v>117</v>
      </c>
      <c r="M38" s="23"/>
      <c r="N38" s="23"/>
      <c r="O38" s="23"/>
      <c r="P38" s="34" t="s">
        <v>118</v>
      </c>
      <c r="Q38" s="34"/>
      <c r="R38" s="34"/>
      <c r="S38" s="34"/>
      <c r="T38" s="34"/>
      <c r="U38" s="23"/>
      <c r="W38" s="63" t="s">
        <v>58</v>
      </c>
      <c r="X38" s="64">
        <f>$D$27</f>
        <v>0</v>
      </c>
      <c r="Y38" s="65">
        <f>X38/43560</f>
        <v>0</v>
      </c>
      <c r="Z38" s="64">
        <v>98</v>
      </c>
      <c r="AA38" s="66">
        <f>(1000/Z38)-10</f>
        <v>0.204081632653061</v>
      </c>
      <c r="AB38" s="66">
        <f>(Y31-0.2*AA38)^2/(Y31+0.8*AA38)</f>
        <v>0.06975464343040594</v>
      </c>
      <c r="AC38" s="67">
        <f>IF(Y31&gt;0,AB38*Y38,0)</f>
        <v>0</v>
      </c>
      <c r="AD38" s="24"/>
      <c r="AE38" s="63" t="s">
        <v>58</v>
      </c>
      <c r="AF38" s="64">
        <f>$D$27</f>
        <v>0</v>
      </c>
      <c r="AG38" s="65">
        <f>AF38/43560</f>
        <v>0</v>
      </c>
      <c r="AH38" s="64">
        <v>98</v>
      </c>
      <c r="AI38" s="66">
        <f>(1000/AH38)-10</f>
        <v>0.204081632653061</v>
      </c>
      <c r="AJ38" s="66">
        <f>(AG31-0.2*AI38)^2/(AG31+0.8*AI38)</f>
        <v>0.32696370576117706</v>
      </c>
      <c r="AK38" s="67">
        <f>IF(AG31&gt;0,AJ38*AG38,0)</f>
        <v>0</v>
      </c>
      <c r="AM38" s="63" t="s">
        <v>58</v>
      </c>
      <c r="AN38" s="64">
        <f>$D$27</f>
        <v>0</v>
      </c>
      <c r="AO38" s="65">
        <f>AN38/43560</f>
        <v>0</v>
      </c>
      <c r="AP38" s="64">
        <v>98</v>
      </c>
      <c r="AQ38" s="66">
        <f>(1000/AP38)-10</f>
        <v>0.204081632653061</v>
      </c>
      <c r="AR38" s="66">
        <f>(AO31-0.2*AQ38)^2/(AO31+0.8*AQ38)</f>
        <v>0.98565318342906</v>
      </c>
      <c r="AS38" s="67">
        <f>IF(AO31&gt;0,AR38*AO38,0)</f>
        <v>0</v>
      </c>
      <c r="AU38" s="63" t="s">
        <v>58</v>
      </c>
      <c r="AV38" s="64">
        <f>$D$27</f>
        <v>0</v>
      </c>
      <c r="AW38" s="65">
        <f>AV38/43560</f>
        <v>0</v>
      </c>
      <c r="AX38" s="64">
        <v>98</v>
      </c>
      <c r="AY38" s="66">
        <f>(1000/AX38)-10</f>
        <v>0.204081632653061</v>
      </c>
      <c r="AZ38" s="66">
        <f>(AW31-0.2*AY38)^2/(AW31+0.8*AY38)</f>
        <v>0.07668303187868922</v>
      </c>
      <c r="BA38" s="67">
        <f>IF(AW31&gt;0,AZ38*AW38,0)</f>
        <v>0</v>
      </c>
      <c r="BC38" s="63" t="s">
        <v>58</v>
      </c>
      <c r="BD38" s="64">
        <f>$D$27</f>
        <v>0</v>
      </c>
      <c r="BE38" s="65">
        <f>BD38/43560</f>
        <v>0</v>
      </c>
      <c r="BF38" s="64">
        <v>98</v>
      </c>
      <c r="BG38" s="66">
        <f>(1000/BF38)-10</f>
        <v>0.204081632653061</v>
      </c>
      <c r="BH38" s="66">
        <f>(BE31-0.2*BG38)^2/(BE31+0.8*BG38)</f>
        <v>0.771532178740829</v>
      </c>
      <c r="BI38" s="67">
        <f>IF(BE31&gt;0,BH38*BE38,0)</f>
        <v>0</v>
      </c>
      <c r="BK38" s="63" t="s">
        <v>58</v>
      </c>
      <c r="BL38" s="64">
        <f>$D$27</f>
        <v>0</v>
      </c>
      <c r="BM38" s="65">
        <f>BL38/43560</f>
        <v>0</v>
      </c>
      <c r="BN38" s="64">
        <v>98</v>
      </c>
      <c r="BO38" s="66">
        <f>(1000/BN38)-10</f>
        <v>0.204081632653061</v>
      </c>
      <c r="BP38" s="66">
        <f>(BM31-0.2*BO38)^2/(BM31+0.8*BO38)</f>
        <v>0.13698931351018578</v>
      </c>
      <c r="BQ38" s="67">
        <f>IF(BM31&gt;0,BP38*BM38,0)</f>
        <v>0</v>
      </c>
      <c r="BS38" s="63" t="s">
        <v>58</v>
      </c>
      <c r="BT38" s="64">
        <f>$D$27</f>
        <v>0</v>
      </c>
      <c r="BU38" s="65">
        <f>BT38/43560</f>
        <v>0</v>
      </c>
      <c r="BV38" s="64">
        <v>98</v>
      </c>
      <c r="BW38" s="66">
        <f>(1000/BV38)-10</f>
        <v>0.204081632653061</v>
      </c>
      <c r="BX38" s="66">
        <f>(BU31-0.2*BW38)^2/(BU31+0.8*BW38)</f>
        <v>0.44695204911232805</v>
      </c>
      <c r="BY38" s="67">
        <f>IF(BU31&gt;0,BX38*BU38,0)</f>
        <v>0</v>
      </c>
      <c r="CA38" s="63" t="s">
        <v>58</v>
      </c>
      <c r="CB38" s="64">
        <f>$D$27</f>
        <v>0</v>
      </c>
      <c r="CC38" s="65">
        <f>CB38/43560</f>
        <v>0</v>
      </c>
      <c r="CD38" s="64">
        <v>98</v>
      </c>
      <c r="CE38" s="66">
        <f>(1000/CD38)-10</f>
        <v>0.204081632653061</v>
      </c>
      <c r="CF38" s="66">
        <f>(CC31-0.2*CE38)^2/(CC31+0.8*CE38)</f>
        <v>1.6554857436382464</v>
      </c>
      <c r="CG38" s="67">
        <f>IF(CC31&gt;0,CF38*CC38,0)</f>
        <v>0</v>
      </c>
      <c r="CI38" s="63" t="s">
        <v>58</v>
      </c>
      <c r="CJ38" s="64">
        <f>$D$27</f>
        <v>0</v>
      </c>
      <c r="CK38" s="65">
        <f>CJ38/43560</f>
        <v>0</v>
      </c>
      <c r="CL38" s="64">
        <v>98</v>
      </c>
      <c r="CM38" s="66">
        <f>(1000/CL38)-10</f>
        <v>0.204081632653061</v>
      </c>
      <c r="CN38" s="66">
        <f>(CK31-0.2*CM38)^2/(CK31+0.8*CM38)</f>
        <v>0.5033482896704783</v>
      </c>
      <c r="CO38" s="67">
        <f>IF(CK31&gt;0,CN38*CK38,0)</f>
        <v>0</v>
      </c>
      <c r="CQ38" s="63" t="s">
        <v>58</v>
      </c>
      <c r="CR38" s="64">
        <f>$D$27</f>
        <v>0</v>
      </c>
      <c r="CS38" s="65">
        <f>CR38/43560</f>
        <v>0</v>
      </c>
      <c r="CT38" s="64">
        <v>98</v>
      </c>
      <c r="CU38" s="66">
        <f>(1000/CT38)-10</f>
        <v>0.204081632653061</v>
      </c>
      <c r="CV38" s="66">
        <f>(CS31-0.2*CU38)^2/(CS31+0.8*CU38)</f>
        <v>0.7909058360186182</v>
      </c>
      <c r="CW38" s="67">
        <f>IF(CS31&gt;0,CV38*CS38,0)</f>
        <v>0</v>
      </c>
      <c r="CY38" s="63" t="s">
        <v>58</v>
      </c>
      <c r="CZ38" s="64">
        <f>$D$27</f>
        <v>0</v>
      </c>
      <c r="DA38" s="65">
        <f>CZ38/43560</f>
        <v>0</v>
      </c>
      <c r="DB38" s="64">
        <v>98</v>
      </c>
      <c r="DC38" s="66">
        <f>(1000/DB38)-10</f>
        <v>0.204081632653061</v>
      </c>
      <c r="DD38" s="66">
        <f>(DA31-0.2*DC38)^2/(DA31+0.8*DC38)</f>
        <v>0.032438267366165896</v>
      </c>
      <c r="DE38" s="67">
        <f>IF(DA31&gt;0,DD38*DA38,0)</f>
        <v>0</v>
      </c>
      <c r="DG38" s="63" t="s">
        <v>58</v>
      </c>
      <c r="DH38" s="64">
        <f>$D$27</f>
        <v>0</v>
      </c>
      <c r="DI38" s="65">
        <f>DH38/43560</f>
        <v>0</v>
      </c>
      <c r="DJ38" s="64">
        <v>98</v>
      </c>
      <c r="DK38" s="66">
        <f>(1000/DJ38)-10</f>
        <v>0.204081632653061</v>
      </c>
      <c r="DL38" s="66">
        <f>(DI31-0.2*DK38)^2/(DI31+0.8*DK38)</f>
        <v>0.16128516271373422</v>
      </c>
      <c r="DM38" s="67">
        <f>IF(DI31&gt;0,DL38*DI38,0)</f>
        <v>0</v>
      </c>
      <c r="DO38" s="63" t="s">
        <v>58</v>
      </c>
      <c r="DP38" s="64">
        <f>$D$27</f>
        <v>0</v>
      </c>
      <c r="DQ38" s="65">
        <f>DP38/43560</f>
        <v>0</v>
      </c>
      <c r="DR38" s="64">
        <v>98</v>
      </c>
      <c r="DS38" s="66">
        <f>(1000/DR38)-10</f>
        <v>0.204081632653061</v>
      </c>
      <c r="DT38" s="66">
        <f>(DQ31-0.2*DS38)^2/(DQ31+0.8*DS38)</f>
        <v>0.5222558376400469</v>
      </c>
      <c r="DU38" s="67">
        <f>IF(DQ31&gt;0,DT38*DQ38,0)</f>
        <v>0</v>
      </c>
      <c r="DW38" s="63" t="s">
        <v>58</v>
      </c>
      <c r="DX38" s="64">
        <f>$D$27</f>
        <v>0</v>
      </c>
      <c r="DY38" s="65">
        <f>DX38/43560</f>
        <v>0</v>
      </c>
      <c r="DZ38" s="64">
        <v>98</v>
      </c>
      <c r="EA38" s="66">
        <f>(1000/DZ38)-10</f>
        <v>0.204081632653061</v>
      </c>
      <c r="EB38" s="66">
        <f>(DY31-0.2*EA38)^2/(DY31+0.8*EA38)</f>
        <v>0.04394145537002685</v>
      </c>
      <c r="EC38" s="67">
        <f>IF(DY31&gt;0,EB38*DY38,0)</f>
        <v>0</v>
      </c>
      <c r="EE38" s="63" t="s">
        <v>58</v>
      </c>
      <c r="EF38" s="64">
        <f>$D$27</f>
        <v>0</v>
      </c>
      <c r="EG38" s="65">
        <f>EF38/43560</f>
        <v>0</v>
      </c>
      <c r="EH38" s="64">
        <v>98</v>
      </c>
      <c r="EI38" s="66">
        <f>(1000/EH38)-10</f>
        <v>0.204081632653061</v>
      </c>
      <c r="EJ38" s="66">
        <f>(EG31-0.2*EI38)^2/(EG31+0.8*EI38)</f>
        <v>0.16128516271373422</v>
      </c>
      <c r="EK38" s="67">
        <f>IF(EG31&gt;0,EJ38*EG38,0)</f>
        <v>0</v>
      </c>
      <c r="EM38" s="63" t="s">
        <v>58</v>
      </c>
      <c r="EN38" s="64">
        <f>$D$27</f>
        <v>0</v>
      </c>
      <c r="EO38" s="65">
        <f>EN38/43560</f>
        <v>0</v>
      </c>
      <c r="EP38" s="64">
        <v>98</v>
      </c>
      <c r="EQ38" s="66">
        <f>(1000/EP38)-10</f>
        <v>0.204081632653061</v>
      </c>
      <c r="ER38" s="66">
        <f>(EO31-0.2*EQ38)^2/(EO31+0.8*EQ38)</f>
        <v>0.627033750833393</v>
      </c>
      <c r="ES38" s="67">
        <f>IF(EO31&gt;0,ER38*EO38,0)</f>
        <v>0</v>
      </c>
      <c r="EU38" s="63" t="s">
        <v>58</v>
      </c>
      <c r="EV38" s="64">
        <f>$D$27</f>
        <v>0</v>
      </c>
      <c r="EW38" s="65">
        <f>EV38/43560</f>
        <v>0</v>
      </c>
      <c r="EX38" s="64">
        <v>98</v>
      </c>
      <c r="EY38" s="66">
        <f>(1000/EX38)-10</f>
        <v>0.204081632653061</v>
      </c>
      <c r="EZ38" s="66">
        <f>(EW31-0.2*EY38)^2/(EW31+0.8*EY38)</f>
        <v>0.5033482896704783</v>
      </c>
      <c r="FA38" s="67">
        <f>IF(EW31&gt;0,EZ38*EW38,0)</f>
        <v>0</v>
      </c>
      <c r="FC38" s="63" t="s">
        <v>58</v>
      </c>
      <c r="FD38" s="64">
        <f>$D$27</f>
        <v>0</v>
      </c>
      <c r="FE38" s="65">
        <f>FD38/43560</f>
        <v>0</v>
      </c>
      <c r="FF38" s="64">
        <v>98</v>
      </c>
      <c r="FG38" s="66">
        <f>(1000/FF38)-10</f>
        <v>0.204081632653061</v>
      </c>
      <c r="FH38" s="66">
        <f>(FE31-0.2*FG38)^2/(FE31+0.8*FG38)</f>
        <v>0.2908711779910161</v>
      </c>
      <c r="FI38" s="67">
        <f>IF(FE31&gt;0,FH38*FE38,0)</f>
        <v>0</v>
      </c>
      <c r="FJ38" s="45"/>
      <c r="FK38" s="63" t="s">
        <v>58</v>
      </c>
      <c r="FL38" s="64">
        <f>$D$27</f>
        <v>0</v>
      </c>
      <c r="FM38" s="65">
        <f>FL38/43560</f>
        <v>0</v>
      </c>
      <c r="FN38" s="64">
        <v>98</v>
      </c>
      <c r="FO38" s="66">
        <f>(1000/FN38)-10</f>
        <v>0.204081632653061</v>
      </c>
      <c r="FP38" s="66">
        <f>(FM31-0.2*FO38)^2/(FM31+0.8*FO38)</f>
        <v>0.10588309397833215</v>
      </c>
      <c r="FQ38" s="67">
        <f>IF(FM31&gt;0,FP38*FM38,0)</f>
        <v>0</v>
      </c>
      <c r="FR38" s="45"/>
      <c r="FS38" s="63" t="s">
        <v>58</v>
      </c>
      <c r="FT38" s="64">
        <f>$D$27</f>
        <v>0</v>
      </c>
      <c r="FU38" s="65">
        <f>FT38/43560</f>
        <v>0</v>
      </c>
      <c r="FV38" s="64">
        <v>98</v>
      </c>
      <c r="FW38" s="66">
        <f>(1000/FV38)-10</f>
        <v>0.204081632653061</v>
      </c>
      <c r="FX38" s="66">
        <f>(FU31-0.2*FW38)^2/(FU31+0.8*FW38)</f>
        <v>0.5222558376400469</v>
      </c>
      <c r="FY38" s="67">
        <f>IF(FU31&gt;0,FX38*FU38,0)</f>
        <v>0</v>
      </c>
      <c r="FZ38" s="45"/>
      <c r="GA38" s="63" t="s">
        <v>58</v>
      </c>
      <c r="GB38" s="64">
        <f>$D$27</f>
        <v>0</v>
      </c>
      <c r="GC38" s="65">
        <f>GB38/43560</f>
        <v>0</v>
      </c>
      <c r="GD38" s="64">
        <v>98</v>
      </c>
      <c r="GE38" s="66">
        <f>(1000/GD38)-10</f>
        <v>0.204081632653061</v>
      </c>
      <c r="GF38" s="66">
        <f>(GC31-0.2*GE38)^2/(GC31+0.8*GE38)</f>
        <v>0.39113763462551426</v>
      </c>
      <c r="GG38" s="67">
        <f>IF(GC31&gt;0,GF38*GC38,0)</f>
        <v>0</v>
      </c>
      <c r="GH38" s="45"/>
      <c r="GI38" s="63" t="s">
        <v>58</v>
      </c>
      <c r="GJ38" s="64">
        <f>$D$27</f>
        <v>0</v>
      </c>
      <c r="GK38" s="65">
        <f>GJ38/43560</f>
        <v>0</v>
      </c>
      <c r="GL38" s="64">
        <v>98</v>
      </c>
      <c r="GM38" s="66">
        <f>(1000/GL38)-10</f>
        <v>0.204081632653061</v>
      </c>
      <c r="GN38" s="66">
        <f>(GK31-0.2*GM38)^2/(GK31+0.8*GM38)</f>
        <v>0.05643475939721911</v>
      </c>
      <c r="GO38" s="67">
        <f>IF(GK31&gt;0,GN38*GK38,0)</f>
        <v>0</v>
      </c>
      <c r="GP38" s="45"/>
      <c r="GQ38" s="93"/>
      <c r="GR38" s="45"/>
      <c r="GS38" s="94"/>
      <c r="GT38" s="45"/>
      <c r="GU38" s="95"/>
      <c r="GV38" s="95"/>
      <c r="GW38" s="95"/>
      <c r="GX38" s="45"/>
      <c r="GY38" s="45"/>
      <c r="GZ38" s="45"/>
      <c r="HA38" s="45"/>
      <c r="HB38" s="45"/>
      <c r="HC38" s="45"/>
      <c r="HD38" s="45"/>
      <c r="HE38" s="45"/>
      <c r="HF38" s="45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</row>
    <row r="39" spans="1:225" ht="14.25">
      <c r="A39" s="135"/>
      <c r="B39" s="135"/>
      <c r="C39" s="136" t="s">
        <v>119</v>
      </c>
      <c r="D39" s="115"/>
      <c r="E39" s="134" t="s">
        <v>266</v>
      </c>
      <c r="F39" s="135"/>
      <c r="G39" s="135"/>
      <c r="H39" s="135"/>
      <c r="I39" s="135"/>
      <c r="K39" s="19" t="s">
        <v>121</v>
      </c>
      <c r="L39" s="20"/>
      <c r="M39" s="20"/>
      <c r="N39" s="22"/>
      <c r="O39" s="23"/>
      <c r="P39" s="19" t="s">
        <v>122</v>
      </c>
      <c r="Q39" s="20"/>
      <c r="R39" s="20"/>
      <c r="S39" s="20"/>
      <c r="T39" s="30" t="s">
        <v>123</v>
      </c>
      <c r="U39" s="70" t="s">
        <v>124</v>
      </c>
      <c r="AB39" s="17" t="s">
        <v>59</v>
      </c>
      <c r="AC39" s="69" t="e">
        <f>SUM(AC33:AC38)</f>
        <v>#N/A</v>
      </c>
      <c r="AD39" s="24"/>
      <c r="AJ39" s="17" t="s">
        <v>59</v>
      </c>
      <c r="AK39" s="69" t="e">
        <f>SUM(AK33:AK38)</f>
        <v>#N/A</v>
      </c>
      <c r="AR39" s="17" t="s">
        <v>59</v>
      </c>
      <c r="AS39" s="69" t="e">
        <f>SUM(AS33:AS38)</f>
        <v>#N/A</v>
      </c>
      <c r="AZ39" s="17" t="s">
        <v>59</v>
      </c>
      <c r="BA39" s="69" t="e">
        <f>SUM(BA33:BA38)</f>
        <v>#N/A</v>
      </c>
      <c r="BH39" s="17" t="s">
        <v>59</v>
      </c>
      <c r="BI39" s="69" t="e">
        <f>SUM(BI33:BI38)</f>
        <v>#N/A</v>
      </c>
      <c r="BP39" s="17" t="s">
        <v>59</v>
      </c>
      <c r="BQ39" s="69" t="e">
        <f>SUM(BQ33:BQ38)</f>
        <v>#N/A</v>
      </c>
      <c r="BX39" s="17" t="s">
        <v>59</v>
      </c>
      <c r="BY39" s="69" t="e">
        <f>SUM(BY33:BY38)</f>
        <v>#N/A</v>
      </c>
      <c r="CF39" s="17" t="s">
        <v>59</v>
      </c>
      <c r="CG39" s="69" t="e">
        <f>SUM(CG33:CG38)</f>
        <v>#N/A</v>
      </c>
      <c r="CN39" s="17" t="s">
        <v>59</v>
      </c>
      <c r="CO39" s="69" t="e">
        <f>SUM(CO33:CO38)</f>
        <v>#N/A</v>
      </c>
      <c r="CV39" s="17" t="s">
        <v>59</v>
      </c>
      <c r="CW39" s="69" t="e">
        <f>SUM(CW33:CW38)</f>
        <v>#N/A</v>
      </c>
      <c r="DD39" s="17" t="s">
        <v>59</v>
      </c>
      <c r="DE39" s="69" t="e">
        <f>SUM(DE33:DE38)</f>
        <v>#N/A</v>
      </c>
      <c r="DL39" s="17" t="s">
        <v>59</v>
      </c>
      <c r="DM39" s="69" t="e">
        <f>SUM(DM33:DM38)</f>
        <v>#N/A</v>
      </c>
      <c r="DT39" s="17" t="s">
        <v>59</v>
      </c>
      <c r="DU39" s="69" t="e">
        <f>SUM(DU33:DU38)</f>
        <v>#N/A</v>
      </c>
      <c r="EB39" s="17" t="s">
        <v>59</v>
      </c>
      <c r="EC39" s="69" t="e">
        <f>SUM(EC33:EC38)</f>
        <v>#N/A</v>
      </c>
      <c r="EJ39" s="17" t="s">
        <v>59</v>
      </c>
      <c r="EK39" s="69" t="e">
        <f>SUM(EK33:EK38)</f>
        <v>#N/A</v>
      </c>
      <c r="ER39" s="17" t="s">
        <v>59</v>
      </c>
      <c r="ES39" s="69" t="e">
        <f>SUM(ES33:ES38)</f>
        <v>#N/A</v>
      </c>
      <c r="EZ39" s="17" t="s">
        <v>59</v>
      </c>
      <c r="FA39" s="69" t="e">
        <f>SUM(FA33:FA38)</f>
        <v>#N/A</v>
      </c>
      <c r="FH39" s="17" t="s">
        <v>59</v>
      </c>
      <c r="FI39" s="69" t="e">
        <f>SUM(FI33:FI38)</f>
        <v>#N/A</v>
      </c>
      <c r="FJ39" s="45"/>
      <c r="FP39" s="17" t="s">
        <v>59</v>
      </c>
      <c r="FQ39" s="69" t="e">
        <f>SUM(FQ33:FQ38)</f>
        <v>#N/A</v>
      </c>
      <c r="FR39" s="45"/>
      <c r="FX39" s="17" t="s">
        <v>59</v>
      </c>
      <c r="FY39" s="69" t="e">
        <f>SUM(FY33:FY38)</f>
        <v>#N/A</v>
      </c>
      <c r="FZ39" s="45"/>
      <c r="GF39" s="17" t="s">
        <v>59</v>
      </c>
      <c r="GG39" s="69" t="e">
        <f>SUM(GG33:GG38)</f>
        <v>#N/A</v>
      </c>
      <c r="GH39" s="45"/>
      <c r="GN39" s="17" t="s">
        <v>59</v>
      </c>
      <c r="GO39" s="69" t="e">
        <f>SUM(GO33:GO38)</f>
        <v>#N/A</v>
      </c>
      <c r="GP39" s="45"/>
      <c r="GQ39" s="45"/>
      <c r="GR39" s="45"/>
      <c r="GS39" s="45"/>
      <c r="GT39" s="45"/>
      <c r="GU39" s="45"/>
      <c r="GV39" s="45"/>
      <c r="GW39" s="95"/>
      <c r="GX39" s="45"/>
      <c r="GY39" s="45"/>
      <c r="GZ39" s="45"/>
      <c r="HA39" s="45"/>
      <c r="HB39" s="45"/>
      <c r="HC39" s="45"/>
      <c r="HD39" s="45"/>
      <c r="HE39" s="45"/>
      <c r="HF39" s="45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</row>
    <row r="40" spans="1:225" ht="14.25">
      <c r="A40" s="135"/>
      <c r="B40" s="135"/>
      <c r="C40" s="136" t="s">
        <v>284</v>
      </c>
      <c r="D40" s="115"/>
      <c r="E40" s="134" t="s">
        <v>285</v>
      </c>
      <c r="F40" s="135"/>
      <c r="G40" s="135"/>
      <c r="H40" s="135"/>
      <c r="I40" s="135"/>
      <c r="K40" s="97" t="e">
        <f>O30</f>
        <v>#DIV/0!</v>
      </c>
      <c r="L40" s="38">
        <v>0.85</v>
      </c>
      <c r="M40" s="38" t="e">
        <f>K40*L40</f>
        <v>#DIV/0!</v>
      </c>
      <c r="N40" s="39" t="s">
        <v>126</v>
      </c>
      <c r="O40" s="23"/>
      <c r="P40" s="55" t="s">
        <v>127</v>
      </c>
      <c r="Q40" s="34">
        <f>D40</f>
        <v>0</v>
      </c>
      <c r="R40" s="34"/>
      <c r="S40" s="34"/>
      <c r="T40" s="71" t="s">
        <v>124</v>
      </c>
      <c r="U40" s="72"/>
      <c r="AB40" s="24"/>
      <c r="AC40" s="24"/>
      <c r="AD40" s="24"/>
      <c r="AE40" s="24"/>
      <c r="AF40" s="24"/>
      <c r="AG40" s="24"/>
      <c r="AH40" s="24"/>
      <c r="AI40" s="24"/>
      <c r="AM40" s="24"/>
      <c r="AN40" s="24"/>
      <c r="AO40" s="24"/>
      <c r="AP40" s="24"/>
      <c r="AQ40" s="24"/>
      <c r="AU40" s="24"/>
      <c r="AV40" s="24"/>
      <c r="AW40" s="24"/>
      <c r="AX40" s="24"/>
      <c r="AY40" s="24"/>
      <c r="BC40" s="24"/>
      <c r="BD40" s="24"/>
      <c r="BE40" s="24"/>
      <c r="BF40" s="24"/>
      <c r="BG40" s="24"/>
      <c r="BK40" s="24"/>
      <c r="BL40" s="24"/>
      <c r="BM40" s="24"/>
      <c r="BN40" s="24"/>
      <c r="BO40" s="24"/>
      <c r="BS40" s="24"/>
      <c r="BT40" s="24"/>
      <c r="BU40" s="24"/>
      <c r="BV40" s="24"/>
      <c r="BW40" s="24"/>
      <c r="CA40" s="24"/>
      <c r="CB40" s="24"/>
      <c r="CC40" s="24"/>
      <c r="CD40" s="24"/>
      <c r="CE40" s="24"/>
      <c r="CI40" s="24"/>
      <c r="CJ40" s="24"/>
      <c r="CK40" s="24"/>
      <c r="CL40" s="24"/>
      <c r="CM40" s="24"/>
      <c r="CQ40" s="24"/>
      <c r="CR40" s="24"/>
      <c r="CS40" s="24"/>
      <c r="CT40" s="24"/>
      <c r="CU40" s="24"/>
      <c r="CY40" s="24"/>
      <c r="CZ40" s="24"/>
      <c r="DA40" s="24"/>
      <c r="DB40" s="24"/>
      <c r="DC40" s="24"/>
      <c r="DG40" s="24"/>
      <c r="DH40" s="24"/>
      <c r="DI40" s="24"/>
      <c r="DJ40" s="24"/>
      <c r="DK40" s="24"/>
      <c r="DO40" s="24"/>
      <c r="DP40" s="24"/>
      <c r="DQ40" s="24"/>
      <c r="DR40" s="24"/>
      <c r="DS40" s="24"/>
      <c r="DW40" s="24"/>
      <c r="DX40" s="24"/>
      <c r="DY40" s="24"/>
      <c r="DZ40" s="24"/>
      <c r="EA40" s="24"/>
      <c r="EE40" s="24"/>
      <c r="EF40" s="24"/>
      <c r="EG40" s="24"/>
      <c r="EH40" s="24"/>
      <c r="EI40" s="24"/>
      <c r="EM40" s="24"/>
      <c r="EN40" s="24"/>
      <c r="EO40" s="24"/>
      <c r="EP40" s="24"/>
      <c r="EQ40" s="24"/>
      <c r="EU40" s="24"/>
      <c r="EV40" s="24"/>
      <c r="EW40" s="24"/>
      <c r="EX40" s="24"/>
      <c r="EY40" s="24"/>
      <c r="FC40" s="24"/>
      <c r="FD40" s="24"/>
      <c r="FE40" s="24"/>
      <c r="FF40" s="24"/>
      <c r="FG40" s="24"/>
      <c r="FJ40" s="45"/>
      <c r="FK40" s="24"/>
      <c r="FL40" s="24"/>
      <c r="FM40" s="24"/>
      <c r="FN40" s="24"/>
      <c r="FO40" s="24"/>
      <c r="FR40" s="45"/>
      <c r="FS40" s="24"/>
      <c r="FT40" s="24"/>
      <c r="FU40" s="24"/>
      <c r="FV40" s="24"/>
      <c r="FW40" s="24"/>
      <c r="FZ40" s="45"/>
      <c r="GA40" s="24"/>
      <c r="GB40" s="24"/>
      <c r="GC40" s="24"/>
      <c r="GD40" s="24"/>
      <c r="GE40" s="24"/>
      <c r="GH40" s="45"/>
      <c r="GI40" s="24"/>
      <c r="GJ40" s="24"/>
      <c r="GK40" s="24"/>
      <c r="GL40" s="24"/>
      <c r="GM40" s="24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</row>
    <row r="41" spans="1:225" ht="14.25">
      <c r="A41" s="135"/>
      <c r="B41" s="135"/>
      <c r="C41" s="135"/>
      <c r="D41" s="135"/>
      <c r="E41" s="135"/>
      <c r="F41" s="135"/>
      <c r="G41" s="135"/>
      <c r="H41" s="135"/>
      <c r="I41" s="135"/>
      <c r="K41" s="23"/>
      <c r="L41" s="23"/>
      <c r="M41" s="23"/>
      <c r="N41" s="23"/>
      <c r="O41" s="23"/>
      <c r="P41" s="55" t="s">
        <v>129</v>
      </c>
      <c r="Q41" s="34">
        <f>IF(D39&lt;1,1,D39)</f>
        <v>1</v>
      </c>
      <c r="R41" s="34">
        <f>LOG(Q41,10)</f>
        <v>0</v>
      </c>
      <c r="S41" s="34">
        <f>(0.5*R41)-Q40</f>
        <v>0</v>
      </c>
      <c r="T41" s="34">
        <f>POWER(10,S41)</f>
        <v>1</v>
      </c>
      <c r="U41" s="35">
        <f>IF(T41&gt;2,2,T41)</f>
        <v>1</v>
      </c>
      <c r="AB41" s="24"/>
      <c r="AC41" s="24"/>
      <c r="AD41" s="25"/>
      <c r="AE41" s="24"/>
      <c r="AF41" s="24"/>
      <c r="AG41" s="24"/>
      <c r="AH41" s="64"/>
      <c r="AI41" s="64"/>
      <c r="AJ41" s="64"/>
      <c r="AM41" s="24"/>
      <c r="AN41" s="24"/>
      <c r="AO41" s="24"/>
      <c r="AP41" s="64"/>
      <c r="AQ41" s="64"/>
      <c r="AR41" s="64"/>
      <c r="AU41" s="24"/>
      <c r="AV41" s="24"/>
      <c r="AW41" s="24"/>
      <c r="AX41" s="64"/>
      <c r="AY41" s="64"/>
      <c r="AZ41" s="64"/>
      <c r="BC41" s="24"/>
      <c r="BD41" s="24"/>
      <c r="BE41" s="24"/>
      <c r="BF41" s="64"/>
      <c r="BG41" s="64"/>
      <c r="BH41" s="64"/>
      <c r="BK41" s="24"/>
      <c r="BL41" s="24"/>
      <c r="BM41" s="24"/>
      <c r="BN41" s="64"/>
      <c r="BO41" s="64"/>
      <c r="BP41" s="64"/>
      <c r="BS41" s="24"/>
      <c r="BT41" s="24"/>
      <c r="BU41" s="24"/>
      <c r="BV41" s="64"/>
      <c r="BW41" s="64"/>
      <c r="BX41" s="64"/>
      <c r="CA41" s="24"/>
      <c r="CB41" s="24"/>
      <c r="CC41" s="24"/>
      <c r="CD41" s="64"/>
      <c r="CE41" s="64"/>
      <c r="CF41" s="64"/>
      <c r="CI41" s="24"/>
      <c r="CJ41" s="24"/>
      <c r="CK41" s="24"/>
      <c r="CL41" s="64"/>
      <c r="CM41" s="64"/>
      <c r="CN41" s="64"/>
      <c r="CQ41" s="24"/>
      <c r="CR41" s="24"/>
      <c r="CS41" s="24"/>
      <c r="CT41" s="64"/>
      <c r="CU41" s="64"/>
      <c r="CV41" s="64"/>
      <c r="CY41" s="24"/>
      <c r="CZ41" s="24"/>
      <c r="DA41" s="24"/>
      <c r="DB41" s="64"/>
      <c r="DC41" s="64"/>
      <c r="DD41" s="64"/>
      <c r="DG41" s="24"/>
      <c r="DH41" s="24"/>
      <c r="DI41" s="24"/>
      <c r="DJ41" s="64"/>
      <c r="DK41" s="64"/>
      <c r="DL41" s="64"/>
      <c r="DO41" s="24"/>
      <c r="DP41" s="24"/>
      <c r="DQ41" s="24"/>
      <c r="DR41" s="64"/>
      <c r="DS41" s="64"/>
      <c r="DT41" s="64"/>
      <c r="DW41" s="24"/>
      <c r="DX41" s="24"/>
      <c r="DY41" s="24"/>
      <c r="DZ41" s="64"/>
      <c r="EA41" s="64"/>
      <c r="EB41" s="64"/>
      <c r="EE41" s="24"/>
      <c r="EF41" s="24"/>
      <c r="EG41" s="24"/>
      <c r="EH41" s="64"/>
      <c r="EI41" s="64"/>
      <c r="EJ41" s="64"/>
      <c r="EM41" s="24"/>
      <c r="EN41" s="24"/>
      <c r="EO41" s="24"/>
      <c r="EP41" s="64"/>
      <c r="EQ41" s="64"/>
      <c r="ER41" s="64"/>
      <c r="EU41" s="24"/>
      <c r="EV41" s="24"/>
      <c r="EW41" s="24"/>
      <c r="EX41" s="64"/>
      <c r="EY41" s="64"/>
      <c r="EZ41" s="64"/>
      <c r="FC41" s="24"/>
      <c r="FD41" s="24"/>
      <c r="FE41" s="24"/>
      <c r="FF41" s="64"/>
      <c r="FG41" s="64"/>
      <c r="FH41" s="64"/>
      <c r="FJ41" s="45"/>
      <c r="FK41" s="24"/>
      <c r="FL41" s="24"/>
      <c r="FM41" s="24"/>
      <c r="FN41" s="64"/>
      <c r="FO41" s="64"/>
      <c r="FP41" s="64"/>
      <c r="FR41" s="45"/>
      <c r="FS41" s="24"/>
      <c r="FT41" s="24"/>
      <c r="FU41" s="24"/>
      <c r="FV41" s="64"/>
      <c r="FW41" s="64"/>
      <c r="FX41" s="64"/>
      <c r="FZ41" s="45"/>
      <c r="GA41" s="24"/>
      <c r="GB41" s="24"/>
      <c r="GC41" s="24"/>
      <c r="GD41" s="64"/>
      <c r="GE41" s="64"/>
      <c r="GF41" s="64"/>
      <c r="GH41" s="45"/>
      <c r="GI41" s="24"/>
      <c r="GJ41" s="24"/>
      <c r="GK41" s="24"/>
      <c r="GL41" s="64"/>
      <c r="GM41" s="64"/>
      <c r="GN41" s="64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</row>
    <row r="42" spans="11:225" ht="14.25">
      <c r="K42" s="23" t="s">
        <v>131</v>
      </c>
      <c r="L42" s="23" t="s">
        <v>132</v>
      </c>
      <c r="M42" s="23"/>
      <c r="N42" s="34"/>
      <c r="O42" s="34"/>
      <c r="P42" s="55" t="s">
        <v>133</v>
      </c>
      <c r="Q42" s="34">
        <f>D90</f>
        <v>0</v>
      </c>
      <c r="R42" s="34"/>
      <c r="S42" s="34"/>
      <c r="T42" s="34"/>
      <c r="U42" s="35"/>
      <c r="Z42" s="40"/>
      <c r="AA42" s="41"/>
      <c r="AB42" s="43"/>
      <c r="AC42" s="24"/>
      <c r="AD42" s="31"/>
      <c r="AE42" s="24"/>
      <c r="AF42" s="24"/>
      <c r="AG42" s="24"/>
      <c r="AH42" s="40"/>
      <c r="AI42" s="41"/>
      <c r="AJ42" s="43"/>
      <c r="AM42" s="24"/>
      <c r="AN42" s="24"/>
      <c r="AO42" s="24"/>
      <c r="AP42" s="40"/>
      <c r="AQ42" s="41"/>
      <c r="AR42" s="43"/>
      <c r="AU42" s="24"/>
      <c r="AV42" s="24"/>
      <c r="AW42" s="24"/>
      <c r="AX42" s="40"/>
      <c r="AY42" s="41"/>
      <c r="AZ42" s="43"/>
      <c r="BC42" s="24"/>
      <c r="BD42" s="24"/>
      <c r="BE42" s="24"/>
      <c r="BF42" s="40"/>
      <c r="BG42" s="41"/>
      <c r="BH42" s="43"/>
      <c r="BK42" s="24"/>
      <c r="BL42" s="24"/>
      <c r="BM42" s="24"/>
      <c r="BN42" s="40"/>
      <c r="BO42" s="41"/>
      <c r="BP42" s="43"/>
      <c r="BS42" s="24"/>
      <c r="BT42" s="24"/>
      <c r="BU42" s="24"/>
      <c r="BV42" s="40"/>
      <c r="BW42" s="41"/>
      <c r="BX42" s="43"/>
      <c r="CA42" s="24"/>
      <c r="CB42" s="24"/>
      <c r="CC42" s="24"/>
      <c r="CD42" s="40"/>
      <c r="CE42" s="41"/>
      <c r="CF42" s="43"/>
      <c r="CI42" s="24"/>
      <c r="CJ42" s="24"/>
      <c r="CK42" s="24"/>
      <c r="CL42" s="40"/>
      <c r="CM42" s="41"/>
      <c r="CN42" s="43"/>
      <c r="CQ42" s="24"/>
      <c r="CR42" s="24"/>
      <c r="CS42" s="24"/>
      <c r="CT42" s="40"/>
      <c r="CU42" s="41"/>
      <c r="CV42" s="43"/>
      <c r="CY42" s="24"/>
      <c r="CZ42" s="24"/>
      <c r="DA42" s="24"/>
      <c r="DB42" s="40"/>
      <c r="DC42" s="41"/>
      <c r="DD42" s="43"/>
      <c r="DG42" s="24"/>
      <c r="DH42" s="24"/>
      <c r="DI42" s="24"/>
      <c r="DJ42" s="40"/>
      <c r="DK42" s="41"/>
      <c r="DL42" s="43"/>
      <c r="DO42" s="24"/>
      <c r="DP42" s="24"/>
      <c r="DQ42" s="24"/>
      <c r="DR42" s="40"/>
      <c r="DS42" s="41"/>
      <c r="DT42" s="43"/>
      <c r="DW42" s="24"/>
      <c r="DX42" s="24"/>
      <c r="DY42" s="24"/>
      <c r="DZ42" s="40"/>
      <c r="EA42" s="41"/>
      <c r="EB42" s="43"/>
      <c r="EE42" s="24"/>
      <c r="EF42" s="24"/>
      <c r="EG42" s="24"/>
      <c r="EH42" s="40"/>
      <c r="EI42" s="41"/>
      <c r="EJ42" s="43"/>
      <c r="EM42" s="24"/>
      <c r="EN42" s="24"/>
      <c r="EO42" s="24"/>
      <c r="EP42" s="40"/>
      <c r="EQ42" s="41"/>
      <c r="ER42" s="43"/>
      <c r="EU42" s="24"/>
      <c r="EV42" s="24"/>
      <c r="EW42" s="24"/>
      <c r="EX42" s="40"/>
      <c r="EY42" s="41"/>
      <c r="EZ42" s="43"/>
      <c r="FC42" s="24"/>
      <c r="FD42" s="24"/>
      <c r="FE42" s="24"/>
      <c r="FF42" s="40"/>
      <c r="FG42" s="41"/>
      <c r="FH42" s="43"/>
      <c r="FJ42" s="45"/>
      <c r="FK42" s="24"/>
      <c r="FL42" s="24"/>
      <c r="FM42" s="24"/>
      <c r="FN42" s="40"/>
      <c r="FO42" s="41"/>
      <c r="FP42" s="43"/>
      <c r="FR42" s="45"/>
      <c r="FS42" s="24"/>
      <c r="FT42" s="24"/>
      <c r="FU42" s="24"/>
      <c r="FV42" s="40"/>
      <c r="FW42" s="41"/>
      <c r="FX42" s="43"/>
      <c r="FZ42" s="45"/>
      <c r="GA42" s="24"/>
      <c r="GB42" s="24"/>
      <c r="GC42" s="24"/>
      <c r="GD42" s="40"/>
      <c r="GE42" s="41"/>
      <c r="GF42" s="43"/>
      <c r="GH42" s="45"/>
      <c r="GI42" s="24"/>
      <c r="GJ42" s="24"/>
      <c r="GK42" s="24"/>
      <c r="GL42" s="40"/>
      <c r="GM42" s="41"/>
      <c r="GN42" s="43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</row>
    <row r="43" spans="1:225" ht="14.25">
      <c r="A43" s="139"/>
      <c r="B43" s="139"/>
      <c r="C43" s="139"/>
      <c r="D43" s="139"/>
      <c r="E43" s="139"/>
      <c r="F43" s="139"/>
      <c r="G43" s="139"/>
      <c r="H43" s="141"/>
      <c r="I43" s="139"/>
      <c r="K43" s="98" t="s">
        <v>135</v>
      </c>
      <c r="L43" s="20" t="s">
        <v>2</v>
      </c>
      <c r="M43" s="20" t="s">
        <v>136</v>
      </c>
      <c r="N43" s="22"/>
      <c r="O43" s="34"/>
      <c r="P43" s="59" t="s">
        <v>129</v>
      </c>
      <c r="Q43" s="38">
        <f>IF(D89&lt;1,1,D89)</f>
        <v>1</v>
      </c>
      <c r="R43" s="38">
        <f>LOG(Q43,10)</f>
        <v>0</v>
      </c>
      <c r="S43" s="38">
        <f>(0.5*R43)-Q42</f>
        <v>0</v>
      </c>
      <c r="T43" s="38">
        <f>POWER(10,S43)</f>
        <v>1</v>
      </c>
      <c r="U43" s="39">
        <f>IF(T43&gt;2,2,T43)</f>
        <v>1</v>
      </c>
      <c r="Z43" s="74" t="s">
        <v>76</v>
      </c>
      <c r="AA43" s="24"/>
      <c r="AB43" s="75" t="s">
        <v>76</v>
      </c>
      <c r="AC43" s="24"/>
      <c r="AD43" s="31"/>
      <c r="AE43" s="24"/>
      <c r="AF43" s="24"/>
      <c r="AG43" s="24"/>
      <c r="AH43" s="74" t="s">
        <v>76</v>
      </c>
      <c r="AI43" s="24"/>
      <c r="AJ43" s="75" t="s">
        <v>76</v>
      </c>
      <c r="AM43" s="24"/>
      <c r="AN43" s="24"/>
      <c r="AO43" s="24"/>
      <c r="AP43" s="74" t="s">
        <v>76</v>
      </c>
      <c r="AQ43" s="24"/>
      <c r="AR43" s="75" t="s">
        <v>76</v>
      </c>
      <c r="AU43" s="24"/>
      <c r="AV43" s="24"/>
      <c r="AW43" s="24"/>
      <c r="AX43" s="74" t="s">
        <v>76</v>
      </c>
      <c r="AY43" s="24"/>
      <c r="AZ43" s="75" t="s">
        <v>76</v>
      </c>
      <c r="BC43" s="24"/>
      <c r="BD43" s="24"/>
      <c r="BE43" s="24"/>
      <c r="BF43" s="74" t="s">
        <v>76</v>
      </c>
      <c r="BG43" s="24"/>
      <c r="BH43" s="75" t="s">
        <v>76</v>
      </c>
      <c r="BK43" s="24"/>
      <c r="BL43" s="24"/>
      <c r="BM43" s="24"/>
      <c r="BN43" s="74" t="s">
        <v>76</v>
      </c>
      <c r="BO43" s="24"/>
      <c r="BP43" s="75" t="s">
        <v>76</v>
      </c>
      <c r="BS43" s="24"/>
      <c r="BT43" s="24"/>
      <c r="BU43" s="24"/>
      <c r="BV43" s="74" t="s">
        <v>76</v>
      </c>
      <c r="BW43" s="24"/>
      <c r="BX43" s="75" t="s">
        <v>76</v>
      </c>
      <c r="CA43" s="24"/>
      <c r="CB43" s="24"/>
      <c r="CC43" s="24"/>
      <c r="CD43" s="74" t="s">
        <v>76</v>
      </c>
      <c r="CE43" s="24"/>
      <c r="CF43" s="75" t="s">
        <v>76</v>
      </c>
      <c r="CI43" s="24"/>
      <c r="CJ43" s="24"/>
      <c r="CK43" s="24"/>
      <c r="CL43" s="74" t="s">
        <v>76</v>
      </c>
      <c r="CM43" s="24"/>
      <c r="CN43" s="75" t="s">
        <v>76</v>
      </c>
      <c r="CQ43" s="24"/>
      <c r="CR43" s="24"/>
      <c r="CS43" s="24"/>
      <c r="CT43" s="74" t="s">
        <v>76</v>
      </c>
      <c r="CU43" s="24"/>
      <c r="CV43" s="75" t="s">
        <v>76</v>
      </c>
      <c r="CY43" s="24"/>
      <c r="CZ43" s="24"/>
      <c r="DA43" s="24"/>
      <c r="DB43" s="74" t="s">
        <v>76</v>
      </c>
      <c r="DC43" s="24"/>
      <c r="DD43" s="75" t="s">
        <v>76</v>
      </c>
      <c r="DG43" s="24"/>
      <c r="DH43" s="24"/>
      <c r="DI43" s="24"/>
      <c r="DJ43" s="74" t="s">
        <v>76</v>
      </c>
      <c r="DK43" s="24"/>
      <c r="DL43" s="75" t="s">
        <v>76</v>
      </c>
      <c r="DO43" s="24"/>
      <c r="DP43" s="24"/>
      <c r="DQ43" s="24"/>
      <c r="DR43" s="74" t="s">
        <v>76</v>
      </c>
      <c r="DS43" s="24"/>
      <c r="DT43" s="75" t="s">
        <v>76</v>
      </c>
      <c r="DW43" s="24"/>
      <c r="DX43" s="24"/>
      <c r="DY43" s="24"/>
      <c r="DZ43" s="74" t="s">
        <v>76</v>
      </c>
      <c r="EA43" s="24"/>
      <c r="EB43" s="75" t="s">
        <v>76</v>
      </c>
      <c r="EE43" s="24"/>
      <c r="EF43" s="24"/>
      <c r="EG43" s="24"/>
      <c r="EH43" s="74" t="s">
        <v>76</v>
      </c>
      <c r="EI43" s="24"/>
      <c r="EJ43" s="75" t="s">
        <v>76</v>
      </c>
      <c r="EM43" s="24"/>
      <c r="EN43" s="24"/>
      <c r="EO43" s="24"/>
      <c r="EP43" s="74" t="s">
        <v>76</v>
      </c>
      <c r="EQ43" s="24"/>
      <c r="ER43" s="75" t="s">
        <v>76</v>
      </c>
      <c r="EU43" s="24"/>
      <c r="EV43" s="24"/>
      <c r="EW43" s="24"/>
      <c r="EX43" s="74" t="s">
        <v>76</v>
      </c>
      <c r="EY43" s="24"/>
      <c r="EZ43" s="75" t="s">
        <v>76</v>
      </c>
      <c r="FC43" s="24"/>
      <c r="FD43" s="24"/>
      <c r="FE43" s="24"/>
      <c r="FF43" s="74" t="s">
        <v>76</v>
      </c>
      <c r="FG43" s="24"/>
      <c r="FH43" s="75" t="s">
        <v>76</v>
      </c>
      <c r="FJ43" s="45"/>
      <c r="FK43" s="24"/>
      <c r="FL43" s="24"/>
      <c r="FM43" s="24"/>
      <c r="FN43" s="74" t="s">
        <v>76</v>
      </c>
      <c r="FO43" s="24"/>
      <c r="FP43" s="75" t="s">
        <v>76</v>
      </c>
      <c r="FR43" s="45"/>
      <c r="FS43" s="24"/>
      <c r="FT43" s="24"/>
      <c r="FU43" s="24"/>
      <c r="FV43" s="74" t="s">
        <v>76</v>
      </c>
      <c r="FW43" s="24"/>
      <c r="FX43" s="75" t="s">
        <v>76</v>
      </c>
      <c r="FZ43" s="45"/>
      <c r="GA43" s="24"/>
      <c r="GB43" s="24"/>
      <c r="GC43" s="24"/>
      <c r="GD43" s="74" t="s">
        <v>76</v>
      </c>
      <c r="GE43" s="24"/>
      <c r="GF43" s="75" t="s">
        <v>76</v>
      </c>
      <c r="GH43" s="45"/>
      <c r="GI43" s="24"/>
      <c r="GJ43" s="24"/>
      <c r="GK43" s="24"/>
      <c r="GL43" s="74" t="s">
        <v>76</v>
      </c>
      <c r="GM43" s="24"/>
      <c r="GN43" s="75" t="s">
        <v>76</v>
      </c>
      <c r="GP43" s="45"/>
      <c r="GQ43" s="45"/>
      <c r="GR43" s="45"/>
      <c r="GS43" s="45"/>
      <c r="GT43" s="99"/>
      <c r="GU43" s="45"/>
      <c r="GV43" s="99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</row>
    <row r="44" spans="1:225" ht="15">
      <c r="A44" s="174" t="s">
        <v>267</v>
      </c>
      <c r="B44" s="139"/>
      <c r="C44" s="139"/>
      <c r="D44" s="139"/>
      <c r="E44" s="177" t="str">
        <f>IF(D39&gt;0,IF(D40&gt;0,O76," ")," ")</f>
        <v> </v>
      </c>
      <c r="F44" s="175" t="s">
        <v>92</v>
      </c>
      <c r="G44" s="139"/>
      <c r="H44" s="139"/>
      <c r="I44" s="139"/>
      <c r="K44" s="36" t="e">
        <f>M40</f>
        <v>#DIV/0!</v>
      </c>
      <c r="L44" s="61" t="e">
        <f>Q14</f>
        <v>#N/A</v>
      </c>
      <c r="M44" s="61" t="e">
        <f>$K$44*$L$44*0.227</f>
        <v>#DIV/0!</v>
      </c>
      <c r="N44" s="39" t="s">
        <v>139</v>
      </c>
      <c r="O44" s="23"/>
      <c r="P44" s="23"/>
      <c r="Q44" s="23"/>
      <c r="R44" s="23"/>
      <c r="S44" s="23"/>
      <c r="T44" s="23"/>
      <c r="U44" s="23"/>
      <c r="Z44" s="74" t="s">
        <v>78</v>
      </c>
      <c r="AA44" s="24"/>
      <c r="AB44" s="75" t="s">
        <v>79</v>
      </c>
      <c r="AC44" s="24"/>
      <c r="AD44" s="31"/>
      <c r="AE44" s="24"/>
      <c r="AF44" s="24"/>
      <c r="AG44" s="24"/>
      <c r="AH44" s="74" t="s">
        <v>78</v>
      </c>
      <c r="AI44" s="24"/>
      <c r="AJ44" s="75" t="s">
        <v>79</v>
      </c>
      <c r="AM44" s="24"/>
      <c r="AN44" s="24"/>
      <c r="AO44" s="24"/>
      <c r="AP44" s="74" t="s">
        <v>78</v>
      </c>
      <c r="AQ44" s="24"/>
      <c r="AR44" s="75" t="s">
        <v>79</v>
      </c>
      <c r="AU44" s="24"/>
      <c r="AV44" s="24"/>
      <c r="AW44" s="24"/>
      <c r="AX44" s="74" t="s">
        <v>78</v>
      </c>
      <c r="AY44" s="24"/>
      <c r="AZ44" s="75" t="s">
        <v>79</v>
      </c>
      <c r="BC44" s="24"/>
      <c r="BD44" s="24"/>
      <c r="BE44" s="24"/>
      <c r="BF44" s="74" t="s">
        <v>78</v>
      </c>
      <c r="BG44" s="24"/>
      <c r="BH44" s="75" t="s">
        <v>79</v>
      </c>
      <c r="BK44" s="24"/>
      <c r="BL44" s="24"/>
      <c r="BM44" s="24"/>
      <c r="BN44" s="74" t="s">
        <v>78</v>
      </c>
      <c r="BO44" s="24"/>
      <c r="BP44" s="75" t="s">
        <v>79</v>
      </c>
      <c r="BS44" s="24"/>
      <c r="BT44" s="24"/>
      <c r="BU44" s="24"/>
      <c r="BV44" s="74" t="s">
        <v>78</v>
      </c>
      <c r="BW44" s="24"/>
      <c r="BX44" s="75" t="s">
        <v>79</v>
      </c>
      <c r="CA44" s="24"/>
      <c r="CB44" s="24"/>
      <c r="CC44" s="24"/>
      <c r="CD44" s="74" t="s">
        <v>78</v>
      </c>
      <c r="CE44" s="24"/>
      <c r="CF44" s="75" t="s">
        <v>79</v>
      </c>
      <c r="CI44" s="24"/>
      <c r="CJ44" s="24"/>
      <c r="CK44" s="24"/>
      <c r="CL44" s="74" t="s">
        <v>78</v>
      </c>
      <c r="CM44" s="24"/>
      <c r="CN44" s="75" t="s">
        <v>79</v>
      </c>
      <c r="CQ44" s="24"/>
      <c r="CR44" s="24"/>
      <c r="CS44" s="24"/>
      <c r="CT44" s="74" t="s">
        <v>78</v>
      </c>
      <c r="CU44" s="24"/>
      <c r="CV44" s="75" t="s">
        <v>79</v>
      </c>
      <c r="CY44" s="24"/>
      <c r="CZ44" s="24"/>
      <c r="DA44" s="24"/>
      <c r="DB44" s="74" t="s">
        <v>78</v>
      </c>
      <c r="DC44" s="24"/>
      <c r="DD44" s="75" t="s">
        <v>79</v>
      </c>
      <c r="DG44" s="24"/>
      <c r="DH44" s="24"/>
      <c r="DI44" s="24"/>
      <c r="DJ44" s="74" t="s">
        <v>78</v>
      </c>
      <c r="DK44" s="24"/>
      <c r="DL44" s="75" t="s">
        <v>79</v>
      </c>
      <c r="DO44" s="24"/>
      <c r="DP44" s="24"/>
      <c r="DQ44" s="24"/>
      <c r="DR44" s="74" t="s">
        <v>78</v>
      </c>
      <c r="DS44" s="24"/>
      <c r="DT44" s="75" t="s">
        <v>79</v>
      </c>
      <c r="DW44" s="24"/>
      <c r="DX44" s="24"/>
      <c r="DY44" s="24"/>
      <c r="DZ44" s="74" t="s">
        <v>78</v>
      </c>
      <c r="EA44" s="24"/>
      <c r="EB44" s="75" t="s">
        <v>79</v>
      </c>
      <c r="EE44" s="24"/>
      <c r="EF44" s="24"/>
      <c r="EG44" s="24"/>
      <c r="EH44" s="74" t="s">
        <v>78</v>
      </c>
      <c r="EI44" s="24"/>
      <c r="EJ44" s="75" t="s">
        <v>79</v>
      </c>
      <c r="EM44" s="24"/>
      <c r="EN44" s="24"/>
      <c r="EO44" s="24"/>
      <c r="EP44" s="74" t="s">
        <v>78</v>
      </c>
      <c r="EQ44" s="24"/>
      <c r="ER44" s="75" t="s">
        <v>79</v>
      </c>
      <c r="EU44" s="24"/>
      <c r="EV44" s="24"/>
      <c r="EW44" s="24"/>
      <c r="EX44" s="74" t="s">
        <v>78</v>
      </c>
      <c r="EY44" s="24"/>
      <c r="EZ44" s="75" t="s">
        <v>79</v>
      </c>
      <c r="FC44" s="24"/>
      <c r="FD44" s="24"/>
      <c r="FE44" s="24"/>
      <c r="FF44" s="74" t="s">
        <v>78</v>
      </c>
      <c r="FG44" s="24"/>
      <c r="FH44" s="75" t="s">
        <v>79</v>
      </c>
      <c r="FJ44" s="45"/>
      <c r="FK44" s="24"/>
      <c r="FL44" s="24"/>
      <c r="FM44" s="24"/>
      <c r="FN44" s="74" t="s">
        <v>78</v>
      </c>
      <c r="FO44" s="24"/>
      <c r="FP44" s="75" t="s">
        <v>79</v>
      </c>
      <c r="FR44" s="45"/>
      <c r="FS44" s="24"/>
      <c r="FT44" s="24"/>
      <c r="FU44" s="24"/>
      <c r="FV44" s="74" t="s">
        <v>78</v>
      </c>
      <c r="FW44" s="24"/>
      <c r="FX44" s="75" t="s">
        <v>79</v>
      </c>
      <c r="FZ44" s="45"/>
      <c r="GA44" s="24"/>
      <c r="GB44" s="24"/>
      <c r="GC44" s="24"/>
      <c r="GD44" s="74" t="s">
        <v>78</v>
      </c>
      <c r="GE44" s="24"/>
      <c r="GF44" s="75" t="s">
        <v>79</v>
      </c>
      <c r="GH44" s="45"/>
      <c r="GI44" s="24"/>
      <c r="GJ44" s="24"/>
      <c r="GK44" s="24"/>
      <c r="GL44" s="74" t="s">
        <v>78</v>
      </c>
      <c r="GM44" s="24"/>
      <c r="GN44" s="75" t="s">
        <v>79</v>
      </c>
      <c r="GP44" s="45"/>
      <c r="GQ44" s="45"/>
      <c r="GR44" s="45"/>
      <c r="GS44" s="45"/>
      <c r="GT44" s="99"/>
      <c r="GU44" s="45"/>
      <c r="GV44" s="99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</row>
    <row r="45" spans="1:225" ht="14.25">
      <c r="A45" s="139"/>
      <c r="B45" s="139"/>
      <c r="C45" s="139"/>
      <c r="D45" s="139"/>
      <c r="E45" s="139"/>
      <c r="F45" s="139"/>
      <c r="G45" s="139"/>
      <c r="H45" s="139"/>
      <c r="I45" s="139"/>
      <c r="K45" s="23"/>
      <c r="L45" s="23"/>
      <c r="M45" s="23"/>
      <c r="N45" s="23"/>
      <c r="O45" s="23"/>
      <c r="P45" s="23" t="s">
        <v>140</v>
      </c>
      <c r="Q45" s="23"/>
      <c r="R45" s="23"/>
      <c r="S45" s="23"/>
      <c r="T45" s="23"/>
      <c r="U45" s="23"/>
      <c r="Z45" s="74" t="s">
        <v>81</v>
      </c>
      <c r="AA45" s="25" t="s">
        <v>82</v>
      </c>
      <c r="AB45" s="75" t="s">
        <v>83</v>
      </c>
      <c r="AC45" s="24"/>
      <c r="AD45" s="24"/>
      <c r="AE45" s="24"/>
      <c r="AF45" s="24"/>
      <c r="AG45" s="24"/>
      <c r="AH45" s="74" t="s">
        <v>81</v>
      </c>
      <c r="AI45" s="25" t="s">
        <v>82</v>
      </c>
      <c r="AJ45" s="75" t="s">
        <v>83</v>
      </c>
      <c r="AM45" s="24"/>
      <c r="AN45" s="24"/>
      <c r="AO45" s="24"/>
      <c r="AP45" s="74" t="s">
        <v>81</v>
      </c>
      <c r="AQ45" s="25" t="s">
        <v>82</v>
      </c>
      <c r="AR45" s="75" t="s">
        <v>83</v>
      </c>
      <c r="AU45" s="24"/>
      <c r="AV45" s="24"/>
      <c r="AW45" s="24"/>
      <c r="AX45" s="74" t="s">
        <v>81</v>
      </c>
      <c r="AY45" s="25" t="s">
        <v>82</v>
      </c>
      <c r="AZ45" s="75" t="s">
        <v>83</v>
      </c>
      <c r="BC45" s="24"/>
      <c r="BD45" s="24"/>
      <c r="BE45" s="24"/>
      <c r="BF45" s="74" t="s">
        <v>81</v>
      </c>
      <c r="BG45" s="25" t="s">
        <v>82</v>
      </c>
      <c r="BH45" s="75" t="s">
        <v>83</v>
      </c>
      <c r="BK45" s="24"/>
      <c r="BL45" s="24"/>
      <c r="BM45" s="24"/>
      <c r="BN45" s="74" t="s">
        <v>81</v>
      </c>
      <c r="BO45" s="25" t="s">
        <v>82</v>
      </c>
      <c r="BP45" s="75" t="s">
        <v>83</v>
      </c>
      <c r="BS45" s="24"/>
      <c r="BT45" s="24"/>
      <c r="BU45" s="24"/>
      <c r="BV45" s="74" t="s">
        <v>81</v>
      </c>
      <c r="BW45" s="25" t="s">
        <v>82</v>
      </c>
      <c r="BX45" s="75" t="s">
        <v>83</v>
      </c>
      <c r="CA45" s="24"/>
      <c r="CB45" s="24"/>
      <c r="CC45" s="24"/>
      <c r="CD45" s="74" t="s">
        <v>81</v>
      </c>
      <c r="CE45" s="25" t="s">
        <v>82</v>
      </c>
      <c r="CF45" s="75" t="s">
        <v>83</v>
      </c>
      <c r="CI45" s="24"/>
      <c r="CJ45" s="24"/>
      <c r="CK45" s="24"/>
      <c r="CL45" s="74" t="s">
        <v>81</v>
      </c>
      <c r="CM45" s="25" t="s">
        <v>82</v>
      </c>
      <c r="CN45" s="75" t="s">
        <v>83</v>
      </c>
      <c r="CQ45" s="24"/>
      <c r="CR45" s="24"/>
      <c r="CS45" s="24"/>
      <c r="CT45" s="74" t="s">
        <v>81</v>
      </c>
      <c r="CU45" s="25" t="s">
        <v>82</v>
      </c>
      <c r="CV45" s="75" t="s">
        <v>83</v>
      </c>
      <c r="CY45" s="24"/>
      <c r="CZ45" s="24"/>
      <c r="DA45" s="24"/>
      <c r="DB45" s="74" t="s">
        <v>81</v>
      </c>
      <c r="DC45" s="25" t="s">
        <v>82</v>
      </c>
      <c r="DD45" s="75" t="s">
        <v>83</v>
      </c>
      <c r="DG45" s="24"/>
      <c r="DH45" s="24"/>
      <c r="DI45" s="24"/>
      <c r="DJ45" s="74" t="s">
        <v>81</v>
      </c>
      <c r="DK45" s="25" t="s">
        <v>82</v>
      </c>
      <c r="DL45" s="75" t="s">
        <v>83</v>
      </c>
      <c r="DO45" s="24"/>
      <c r="DP45" s="24"/>
      <c r="DQ45" s="24"/>
      <c r="DR45" s="74" t="s">
        <v>81</v>
      </c>
      <c r="DS45" s="25" t="s">
        <v>82</v>
      </c>
      <c r="DT45" s="75" t="s">
        <v>83</v>
      </c>
      <c r="DW45" s="24"/>
      <c r="DX45" s="24"/>
      <c r="DY45" s="24"/>
      <c r="DZ45" s="74" t="s">
        <v>81</v>
      </c>
      <c r="EA45" s="25" t="s">
        <v>82</v>
      </c>
      <c r="EB45" s="75" t="s">
        <v>83</v>
      </c>
      <c r="EE45" s="24"/>
      <c r="EF45" s="24"/>
      <c r="EG45" s="24"/>
      <c r="EH45" s="74" t="s">
        <v>81</v>
      </c>
      <c r="EI45" s="25" t="s">
        <v>82</v>
      </c>
      <c r="EJ45" s="75" t="s">
        <v>83</v>
      </c>
      <c r="EM45" s="24"/>
      <c r="EN45" s="24"/>
      <c r="EO45" s="24"/>
      <c r="EP45" s="74" t="s">
        <v>81</v>
      </c>
      <c r="EQ45" s="25" t="s">
        <v>82</v>
      </c>
      <c r="ER45" s="75" t="s">
        <v>83</v>
      </c>
      <c r="EU45" s="24"/>
      <c r="EV45" s="24"/>
      <c r="EW45" s="24"/>
      <c r="EX45" s="74" t="s">
        <v>81</v>
      </c>
      <c r="EY45" s="25" t="s">
        <v>82</v>
      </c>
      <c r="EZ45" s="75" t="s">
        <v>83</v>
      </c>
      <c r="FC45" s="24"/>
      <c r="FD45" s="24"/>
      <c r="FE45" s="24"/>
      <c r="FF45" s="74" t="s">
        <v>81</v>
      </c>
      <c r="FG45" s="25" t="s">
        <v>82</v>
      </c>
      <c r="FH45" s="75" t="s">
        <v>83</v>
      </c>
      <c r="FJ45" s="45"/>
      <c r="FK45" s="24"/>
      <c r="FL45" s="24"/>
      <c r="FM45" s="24"/>
      <c r="FN45" s="74" t="s">
        <v>81</v>
      </c>
      <c r="FO45" s="25" t="s">
        <v>82</v>
      </c>
      <c r="FP45" s="75" t="s">
        <v>83</v>
      </c>
      <c r="FR45" s="45"/>
      <c r="FS45" s="24"/>
      <c r="FT45" s="24"/>
      <c r="FU45" s="24"/>
      <c r="FV45" s="74" t="s">
        <v>81</v>
      </c>
      <c r="FW45" s="25" t="s">
        <v>82</v>
      </c>
      <c r="FX45" s="75" t="s">
        <v>83</v>
      </c>
      <c r="FZ45" s="45"/>
      <c r="GA45" s="24"/>
      <c r="GB45" s="24"/>
      <c r="GC45" s="24"/>
      <c r="GD45" s="74" t="s">
        <v>81</v>
      </c>
      <c r="GE45" s="25" t="s">
        <v>82</v>
      </c>
      <c r="GF45" s="75" t="s">
        <v>83</v>
      </c>
      <c r="GH45" s="45"/>
      <c r="GI45" s="24"/>
      <c r="GJ45" s="24"/>
      <c r="GK45" s="24"/>
      <c r="GL45" s="74" t="s">
        <v>81</v>
      </c>
      <c r="GM45" s="25" t="s">
        <v>82</v>
      </c>
      <c r="GN45" s="75" t="s">
        <v>83</v>
      </c>
      <c r="GP45" s="45"/>
      <c r="GQ45" s="45"/>
      <c r="GR45" s="45"/>
      <c r="GS45" s="45"/>
      <c r="GT45" s="99"/>
      <c r="GU45" s="99"/>
      <c r="GV45" s="99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</row>
    <row r="46" spans="8:225" ht="14.25">
      <c r="H46" s="92"/>
      <c r="I46" s="92"/>
      <c r="K46" s="23" t="s">
        <v>141</v>
      </c>
      <c r="L46" s="23"/>
      <c r="M46" s="23"/>
      <c r="N46" s="23"/>
      <c r="O46" s="23"/>
      <c r="P46" s="19" t="s">
        <v>142</v>
      </c>
      <c r="Q46" s="20"/>
      <c r="R46" s="20"/>
      <c r="S46" s="20"/>
      <c r="T46" s="22"/>
      <c r="U46" s="23"/>
      <c r="Z46" s="74" t="s">
        <v>84</v>
      </c>
      <c r="AA46" s="25" t="s">
        <v>85</v>
      </c>
      <c r="AB46" s="75" t="s">
        <v>61</v>
      </c>
      <c r="AC46" s="24"/>
      <c r="AD46" s="24"/>
      <c r="AE46" s="24"/>
      <c r="AF46" s="31"/>
      <c r="AG46" s="31"/>
      <c r="AH46" s="74" t="s">
        <v>84</v>
      </c>
      <c r="AI46" s="25" t="s">
        <v>85</v>
      </c>
      <c r="AJ46" s="75" t="s">
        <v>61</v>
      </c>
      <c r="AM46" s="24"/>
      <c r="AN46" s="31"/>
      <c r="AO46" s="31"/>
      <c r="AP46" s="74" t="s">
        <v>84</v>
      </c>
      <c r="AQ46" s="25" t="s">
        <v>85</v>
      </c>
      <c r="AR46" s="75" t="s">
        <v>61</v>
      </c>
      <c r="AU46" s="24"/>
      <c r="AV46" s="31"/>
      <c r="AW46" s="31"/>
      <c r="AX46" s="74" t="s">
        <v>84</v>
      </c>
      <c r="AY46" s="25" t="s">
        <v>85</v>
      </c>
      <c r="AZ46" s="75" t="s">
        <v>61</v>
      </c>
      <c r="BC46" s="24"/>
      <c r="BD46" s="31"/>
      <c r="BE46" s="31"/>
      <c r="BF46" s="74" t="s">
        <v>84</v>
      </c>
      <c r="BG46" s="25" t="s">
        <v>85</v>
      </c>
      <c r="BH46" s="75" t="s">
        <v>61</v>
      </c>
      <c r="BK46" s="24"/>
      <c r="BL46" s="31"/>
      <c r="BM46" s="31"/>
      <c r="BN46" s="74" t="s">
        <v>84</v>
      </c>
      <c r="BO46" s="25" t="s">
        <v>85</v>
      </c>
      <c r="BP46" s="75" t="s">
        <v>61</v>
      </c>
      <c r="BS46" s="24"/>
      <c r="BT46" s="31"/>
      <c r="BU46" s="31"/>
      <c r="BV46" s="74" t="s">
        <v>84</v>
      </c>
      <c r="BW46" s="25" t="s">
        <v>85</v>
      </c>
      <c r="BX46" s="75" t="s">
        <v>61</v>
      </c>
      <c r="CA46" s="24"/>
      <c r="CB46" s="31"/>
      <c r="CC46" s="31"/>
      <c r="CD46" s="74" t="s">
        <v>84</v>
      </c>
      <c r="CE46" s="25" t="s">
        <v>85</v>
      </c>
      <c r="CF46" s="75" t="s">
        <v>61</v>
      </c>
      <c r="CI46" s="24"/>
      <c r="CJ46" s="31"/>
      <c r="CK46" s="31"/>
      <c r="CL46" s="74" t="s">
        <v>84</v>
      </c>
      <c r="CM46" s="25" t="s">
        <v>85</v>
      </c>
      <c r="CN46" s="75" t="s">
        <v>61</v>
      </c>
      <c r="CQ46" s="24"/>
      <c r="CR46" s="31"/>
      <c r="CS46" s="31"/>
      <c r="CT46" s="74" t="s">
        <v>84</v>
      </c>
      <c r="CU46" s="25" t="s">
        <v>85</v>
      </c>
      <c r="CV46" s="75" t="s">
        <v>61</v>
      </c>
      <c r="CY46" s="24"/>
      <c r="CZ46" s="31"/>
      <c r="DA46" s="31"/>
      <c r="DB46" s="74" t="s">
        <v>84</v>
      </c>
      <c r="DC46" s="25" t="s">
        <v>85</v>
      </c>
      <c r="DD46" s="75" t="s">
        <v>61</v>
      </c>
      <c r="DG46" s="24"/>
      <c r="DH46" s="31"/>
      <c r="DI46" s="31"/>
      <c r="DJ46" s="74" t="s">
        <v>84</v>
      </c>
      <c r="DK46" s="25" t="s">
        <v>85</v>
      </c>
      <c r="DL46" s="75" t="s">
        <v>61</v>
      </c>
      <c r="DO46" s="24"/>
      <c r="DP46" s="31"/>
      <c r="DQ46" s="31"/>
      <c r="DR46" s="74" t="s">
        <v>84</v>
      </c>
      <c r="DS46" s="25" t="s">
        <v>85</v>
      </c>
      <c r="DT46" s="75" t="s">
        <v>61</v>
      </c>
      <c r="DW46" s="24"/>
      <c r="DX46" s="31"/>
      <c r="DY46" s="31"/>
      <c r="DZ46" s="74" t="s">
        <v>84</v>
      </c>
      <c r="EA46" s="25" t="s">
        <v>85</v>
      </c>
      <c r="EB46" s="75" t="s">
        <v>61</v>
      </c>
      <c r="EE46" s="24"/>
      <c r="EF46" s="31"/>
      <c r="EG46" s="31"/>
      <c r="EH46" s="74" t="s">
        <v>84</v>
      </c>
      <c r="EI46" s="25" t="s">
        <v>85</v>
      </c>
      <c r="EJ46" s="75" t="s">
        <v>61</v>
      </c>
      <c r="EM46" s="24"/>
      <c r="EN46" s="31"/>
      <c r="EO46" s="31"/>
      <c r="EP46" s="74" t="s">
        <v>84</v>
      </c>
      <c r="EQ46" s="25" t="s">
        <v>85</v>
      </c>
      <c r="ER46" s="75" t="s">
        <v>61</v>
      </c>
      <c r="EU46" s="24"/>
      <c r="EV46" s="31"/>
      <c r="EW46" s="31"/>
      <c r="EX46" s="74" t="s">
        <v>84</v>
      </c>
      <c r="EY46" s="25" t="s">
        <v>85</v>
      </c>
      <c r="EZ46" s="75" t="s">
        <v>61</v>
      </c>
      <c r="FC46" s="24"/>
      <c r="FD46" s="31"/>
      <c r="FE46" s="31"/>
      <c r="FF46" s="74" t="s">
        <v>84</v>
      </c>
      <c r="FG46" s="25" t="s">
        <v>85</v>
      </c>
      <c r="FH46" s="75" t="s">
        <v>61</v>
      </c>
      <c r="FJ46" s="45"/>
      <c r="FK46" s="24"/>
      <c r="FL46" s="31"/>
      <c r="FM46" s="31"/>
      <c r="FN46" s="74" t="s">
        <v>84</v>
      </c>
      <c r="FO46" s="25" t="s">
        <v>85</v>
      </c>
      <c r="FP46" s="75" t="s">
        <v>61</v>
      </c>
      <c r="FR46" s="45"/>
      <c r="FS46" s="24"/>
      <c r="FT46" s="31"/>
      <c r="FU46" s="31"/>
      <c r="FV46" s="74" t="s">
        <v>84</v>
      </c>
      <c r="FW46" s="25" t="s">
        <v>85</v>
      </c>
      <c r="FX46" s="75" t="s">
        <v>61</v>
      </c>
      <c r="FZ46" s="45"/>
      <c r="GA46" s="24"/>
      <c r="GB46" s="31"/>
      <c r="GC46" s="31"/>
      <c r="GD46" s="74" t="s">
        <v>84</v>
      </c>
      <c r="GE46" s="25" t="s">
        <v>85</v>
      </c>
      <c r="GF46" s="75" t="s">
        <v>61</v>
      </c>
      <c r="GH46" s="45"/>
      <c r="GI46" s="24"/>
      <c r="GJ46" s="31"/>
      <c r="GK46" s="31"/>
      <c r="GL46" s="74" t="s">
        <v>84</v>
      </c>
      <c r="GM46" s="25" t="s">
        <v>85</v>
      </c>
      <c r="GN46" s="75" t="s">
        <v>61</v>
      </c>
      <c r="GP46" s="45"/>
      <c r="GQ46" s="45"/>
      <c r="GR46" s="95"/>
      <c r="GS46" s="95"/>
      <c r="GT46" s="99"/>
      <c r="GU46" s="99"/>
      <c r="GV46" s="99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</row>
    <row r="47" spans="1:225" ht="15.75">
      <c r="A47" s="144"/>
      <c r="B47" s="92"/>
      <c r="C47" s="156"/>
      <c r="D47" s="210"/>
      <c r="E47" s="144"/>
      <c r="F47" s="92"/>
      <c r="G47" s="211"/>
      <c r="H47" s="92"/>
      <c r="I47" s="92"/>
      <c r="K47" s="19" t="s">
        <v>143</v>
      </c>
      <c r="L47" s="20"/>
      <c r="M47" s="30" t="s">
        <v>144</v>
      </c>
      <c r="N47" s="22"/>
      <c r="O47" s="23"/>
      <c r="P47" s="32"/>
      <c r="Q47" s="34" t="s">
        <v>145</v>
      </c>
      <c r="R47" s="34" t="s">
        <v>146</v>
      </c>
      <c r="S47" s="34"/>
      <c r="T47" s="35"/>
      <c r="U47" s="23"/>
      <c r="Z47" s="79"/>
      <c r="AA47" s="24"/>
      <c r="AB47" s="80"/>
      <c r="AC47" s="24"/>
      <c r="AD47" s="24"/>
      <c r="AE47" s="24"/>
      <c r="AF47" s="24"/>
      <c r="AG47" s="24"/>
      <c r="AH47" s="79"/>
      <c r="AI47" s="24"/>
      <c r="AJ47" s="80"/>
      <c r="AM47" s="24"/>
      <c r="AN47" s="24"/>
      <c r="AO47" s="24"/>
      <c r="AP47" s="79"/>
      <c r="AQ47" s="24"/>
      <c r="AR47" s="80"/>
      <c r="AU47" s="24"/>
      <c r="AV47" s="24"/>
      <c r="AW47" s="24"/>
      <c r="AX47" s="79"/>
      <c r="AY47" s="24"/>
      <c r="AZ47" s="80"/>
      <c r="BC47" s="24"/>
      <c r="BD47" s="24"/>
      <c r="BE47" s="24"/>
      <c r="BF47" s="79"/>
      <c r="BG47" s="24"/>
      <c r="BH47" s="80"/>
      <c r="BK47" s="24"/>
      <c r="BL47" s="24"/>
      <c r="BM47" s="24"/>
      <c r="BN47" s="79"/>
      <c r="BO47" s="24"/>
      <c r="BP47" s="80"/>
      <c r="BS47" s="24"/>
      <c r="BT47" s="24"/>
      <c r="BU47" s="24"/>
      <c r="BV47" s="79"/>
      <c r="BW47" s="24"/>
      <c r="BX47" s="80"/>
      <c r="CA47" s="24"/>
      <c r="CB47" s="24"/>
      <c r="CC47" s="24"/>
      <c r="CD47" s="79"/>
      <c r="CE47" s="24"/>
      <c r="CF47" s="80"/>
      <c r="CI47" s="24"/>
      <c r="CJ47" s="24"/>
      <c r="CK47" s="24"/>
      <c r="CL47" s="79"/>
      <c r="CM47" s="24"/>
      <c r="CN47" s="80"/>
      <c r="CQ47" s="24"/>
      <c r="CR47" s="24"/>
      <c r="CS47" s="24"/>
      <c r="CT47" s="79"/>
      <c r="CU47" s="24"/>
      <c r="CV47" s="80"/>
      <c r="CY47" s="24"/>
      <c r="CZ47" s="24"/>
      <c r="DA47" s="24"/>
      <c r="DB47" s="79"/>
      <c r="DC47" s="24"/>
      <c r="DD47" s="80"/>
      <c r="DG47" s="24"/>
      <c r="DH47" s="24"/>
      <c r="DI47" s="24"/>
      <c r="DJ47" s="79"/>
      <c r="DK47" s="24"/>
      <c r="DL47" s="80"/>
      <c r="DO47" s="24"/>
      <c r="DP47" s="24"/>
      <c r="DQ47" s="24"/>
      <c r="DR47" s="79"/>
      <c r="DS47" s="24"/>
      <c r="DT47" s="80"/>
      <c r="DW47" s="24"/>
      <c r="DX47" s="24"/>
      <c r="DY47" s="24"/>
      <c r="DZ47" s="79"/>
      <c r="EA47" s="24"/>
      <c r="EB47" s="80"/>
      <c r="EE47" s="24"/>
      <c r="EF47" s="24"/>
      <c r="EG47" s="24"/>
      <c r="EH47" s="79"/>
      <c r="EI47" s="24"/>
      <c r="EJ47" s="80"/>
      <c r="EM47" s="24"/>
      <c r="EN47" s="24"/>
      <c r="EO47" s="24"/>
      <c r="EP47" s="79"/>
      <c r="EQ47" s="24"/>
      <c r="ER47" s="80"/>
      <c r="EU47" s="24"/>
      <c r="EV47" s="24"/>
      <c r="EW47" s="24"/>
      <c r="EX47" s="79"/>
      <c r="EY47" s="24"/>
      <c r="EZ47" s="80"/>
      <c r="FC47" s="24"/>
      <c r="FD47" s="24"/>
      <c r="FE47" s="24"/>
      <c r="FF47" s="79"/>
      <c r="FG47" s="24"/>
      <c r="FH47" s="80"/>
      <c r="FJ47" s="45"/>
      <c r="FK47" s="24"/>
      <c r="FL47" s="24"/>
      <c r="FM47" s="24"/>
      <c r="FN47" s="79"/>
      <c r="FO47" s="24"/>
      <c r="FP47" s="80"/>
      <c r="FR47" s="45"/>
      <c r="FS47" s="24"/>
      <c r="FT47" s="24"/>
      <c r="FU47" s="24"/>
      <c r="FV47" s="79"/>
      <c r="FW47" s="24"/>
      <c r="FX47" s="80"/>
      <c r="FZ47" s="45"/>
      <c r="GA47" s="24"/>
      <c r="GB47" s="24"/>
      <c r="GC47" s="24"/>
      <c r="GD47" s="79"/>
      <c r="GE47" s="24"/>
      <c r="GF47" s="80"/>
      <c r="GH47" s="45"/>
      <c r="GI47" s="24"/>
      <c r="GJ47" s="24"/>
      <c r="GK47" s="24"/>
      <c r="GL47" s="79"/>
      <c r="GM47" s="24"/>
      <c r="GN47" s="80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</row>
    <row r="48" spans="1:225" ht="18">
      <c r="A48" s="145"/>
      <c r="B48" s="92"/>
      <c r="C48" s="165"/>
      <c r="D48" s="212"/>
      <c r="E48" s="212"/>
      <c r="F48" s="212"/>
      <c r="G48" s="211"/>
      <c r="H48" s="92"/>
      <c r="I48" s="92"/>
      <c r="K48" s="32" t="s">
        <v>147</v>
      </c>
      <c r="L48" s="34"/>
      <c r="M48" s="71" t="s">
        <v>148</v>
      </c>
      <c r="N48" s="35"/>
      <c r="O48" s="23"/>
      <c r="P48" s="32"/>
      <c r="Q48" s="34" t="e">
        <f>IF(E71&lt;&gt;0,LOG10(M51),0)</f>
        <v>#DIV/0!</v>
      </c>
      <c r="R48" s="49" t="e">
        <f>50.5*Q48-49.3</f>
        <v>#DIV/0!</v>
      </c>
      <c r="S48" s="34"/>
      <c r="T48" s="35"/>
      <c r="U48" s="23"/>
      <c r="W48" s="24"/>
      <c r="X48" s="24"/>
      <c r="Z48" s="81" t="e">
        <f>($O$30*0.85)*AC39*0.227</f>
        <v>#DIV/0!</v>
      </c>
      <c r="AA48" s="66" t="e">
        <f>$K$56*$L$56</f>
        <v>#DIV/0!</v>
      </c>
      <c r="AB48" s="82" t="e">
        <f>AC39*AA48*0.227</f>
        <v>#N/A</v>
      </c>
      <c r="AC48" s="24"/>
      <c r="AD48" s="24"/>
      <c r="AE48" s="24"/>
      <c r="AF48" s="24"/>
      <c r="AG48" s="24"/>
      <c r="AH48" s="81" t="e">
        <f>($O$30*0.85)*AK39*0.227</f>
        <v>#DIV/0!</v>
      </c>
      <c r="AI48" s="66" t="e">
        <f>$K$56*$L$56</f>
        <v>#DIV/0!</v>
      </c>
      <c r="AJ48" s="82" t="e">
        <f>AK39*AI48*0.227</f>
        <v>#N/A</v>
      </c>
      <c r="AM48" s="24"/>
      <c r="AN48" s="24"/>
      <c r="AO48" s="24"/>
      <c r="AP48" s="81" t="e">
        <f>($O$30*0.85)*AS39*0.227</f>
        <v>#DIV/0!</v>
      </c>
      <c r="AQ48" s="66" t="e">
        <f>$K$56*$L$56</f>
        <v>#DIV/0!</v>
      </c>
      <c r="AR48" s="82" t="e">
        <f>AS39*AQ48*0.227</f>
        <v>#N/A</v>
      </c>
      <c r="AU48" s="24"/>
      <c r="AV48" s="24"/>
      <c r="AW48" s="24"/>
      <c r="AX48" s="81" t="e">
        <f>($O$30*0.85)*BA39*0.227</f>
        <v>#DIV/0!</v>
      </c>
      <c r="AY48" s="66" t="e">
        <f>$K$56*$L$56</f>
        <v>#DIV/0!</v>
      </c>
      <c r="AZ48" s="82" t="e">
        <f>BA39*AY48*0.227</f>
        <v>#N/A</v>
      </c>
      <c r="BC48" s="24"/>
      <c r="BD48" s="24"/>
      <c r="BE48" s="24"/>
      <c r="BF48" s="81" t="e">
        <f>($O$30*0.85)*BI39*0.227</f>
        <v>#DIV/0!</v>
      </c>
      <c r="BG48" s="66" t="e">
        <f>$K$56*$L$56</f>
        <v>#DIV/0!</v>
      </c>
      <c r="BH48" s="82" t="e">
        <f>BI39*BG48*0.227</f>
        <v>#N/A</v>
      </c>
      <c r="BK48" s="24"/>
      <c r="BL48" s="24"/>
      <c r="BM48" s="24"/>
      <c r="BN48" s="81" t="e">
        <f>($O$30*0.85)*BQ39*0.227</f>
        <v>#DIV/0!</v>
      </c>
      <c r="BO48" s="66" t="e">
        <f>$K$56*$L$56</f>
        <v>#DIV/0!</v>
      </c>
      <c r="BP48" s="82" t="e">
        <f>BQ39*BO48*0.227</f>
        <v>#N/A</v>
      </c>
      <c r="BS48" s="24"/>
      <c r="BT48" s="24"/>
      <c r="BU48" s="24"/>
      <c r="BV48" s="81" t="e">
        <f>($O$30*0.85)*BY39*0.227</f>
        <v>#DIV/0!</v>
      </c>
      <c r="BW48" s="66" t="e">
        <f>$K$56*$L$56</f>
        <v>#DIV/0!</v>
      </c>
      <c r="BX48" s="82" t="e">
        <f>BY39*BW48*0.227</f>
        <v>#N/A</v>
      </c>
      <c r="CA48" s="24"/>
      <c r="CB48" s="24"/>
      <c r="CC48" s="24"/>
      <c r="CD48" s="81" t="e">
        <f>($O$30*0.85)*CG39*0.227</f>
        <v>#DIV/0!</v>
      </c>
      <c r="CE48" s="66" t="e">
        <f>$K$56*$L$56</f>
        <v>#DIV/0!</v>
      </c>
      <c r="CF48" s="82" t="e">
        <f>CG39*CE48*0.227</f>
        <v>#N/A</v>
      </c>
      <c r="CI48" s="24"/>
      <c r="CJ48" s="24"/>
      <c r="CK48" s="24"/>
      <c r="CL48" s="81" t="e">
        <f>($O$30*0.85)*CO39*0.227</f>
        <v>#DIV/0!</v>
      </c>
      <c r="CM48" s="66" t="e">
        <f>$K$56*$L$56</f>
        <v>#DIV/0!</v>
      </c>
      <c r="CN48" s="82" t="e">
        <f>CO39*CM48*0.227</f>
        <v>#N/A</v>
      </c>
      <c r="CQ48" s="24"/>
      <c r="CR48" s="24"/>
      <c r="CS48" s="24"/>
      <c r="CT48" s="81" t="e">
        <f>($O$30*0.85)*CW39*0.227</f>
        <v>#DIV/0!</v>
      </c>
      <c r="CU48" s="66" t="e">
        <f>$K$56*$L$56</f>
        <v>#DIV/0!</v>
      </c>
      <c r="CV48" s="82" t="e">
        <f>CW39*CU48*0.227</f>
        <v>#N/A</v>
      </c>
      <c r="CY48" s="24"/>
      <c r="CZ48" s="24"/>
      <c r="DA48" s="24"/>
      <c r="DB48" s="81" t="e">
        <f>($O$30*0.85)*DE39*0.227</f>
        <v>#DIV/0!</v>
      </c>
      <c r="DC48" s="66" t="e">
        <f>$K$56*$L$56</f>
        <v>#DIV/0!</v>
      </c>
      <c r="DD48" s="82" t="e">
        <f>DE39*DC48*0.227</f>
        <v>#N/A</v>
      </c>
      <c r="DG48" s="24"/>
      <c r="DH48" s="24"/>
      <c r="DI48" s="24"/>
      <c r="DJ48" s="81" t="e">
        <f>($O$30*0.85)*DM39*0.227</f>
        <v>#DIV/0!</v>
      </c>
      <c r="DK48" s="66" t="e">
        <f>$K$56*$L$56</f>
        <v>#DIV/0!</v>
      </c>
      <c r="DL48" s="82" t="e">
        <f>DM39*DK48*0.227</f>
        <v>#N/A</v>
      </c>
      <c r="DO48" s="24"/>
      <c r="DP48" s="24"/>
      <c r="DQ48" s="24"/>
      <c r="DR48" s="81" t="e">
        <f>($O$30*0.85)*DU39*0.227</f>
        <v>#DIV/0!</v>
      </c>
      <c r="DS48" s="66" t="e">
        <f>$K$56*$L$56</f>
        <v>#DIV/0!</v>
      </c>
      <c r="DT48" s="82" t="e">
        <f>DU39*DS48*0.227</f>
        <v>#N/A</v>
      </c>
      <c r="DW48" s="24"/>
      <c r="DX48" s="24"/>
      <c r="DY48" s="24"/>
      <c r="DZ48" s="81" t="e">
        <f>($O$30*0.85)*EC39*0.227</f>
        <v>#DIV/0!</v>
      </c>
      <c r="EA48" s="66" t="e">
        <f>$K$56*$L$56</f>
        <v>#DIV/0!</v>
      </c>
      <c r="EB48" s="82" t="e">
        <f>EC39*EA48*0.227</f>
        <v>#N/A</v>
      </c>
      <c r="EE48" s="24"/>
      <c r="EF48" s="24"/>
      <c r="EG48" s="24"/>
      <c r="EH48" s="81" t="e">
        <f>($O$30*0.85)*EK39*0.227</f>
        <v>#DIV/0!</v>
      </c>
      <c r="EI48" s="66" t="e">
        <f>$K$56*$L$56</f>
        <v>#DIV/0!</v>
      </c>
      <c r="EJ48" s="82" t="e">
        <f>EK39*EI48*0.227</f>
        <v>#N/A</v>
      </c>
      <c r="EM48" s="24"/>
      <c r="EN48" s="24"/>
      <c r="EO48" s="24"/>
      <c r="EP48" s="81" t="e">
        <f>($O$30*0.85)*ES39*0.227</f>
        <v>#DIV/0!</v>
      </c>
      <c r="EQ48" s="66" t="e">
        <f>$K$56*$L$56</f>
        <v>#DIV/0!</v>
      </c>
      <c r="ER48" s="82" t="e">
        <f>ES39*EQ48*0.227</f>
        <v>#N/A</v>
      </c>
      <c r="EU48" s="24"/>
      <c r="EV48" s="24"/>
      <c r="EW48" s="24"/>
      <c r="EX48" s="81" t="e">
        <f>($O$30*0.85)*FA39*0.227</f>
        <v>#DIV/0!</v>
      </c>
      <c r="EY48" s="66" t="e">
        <f>$K$56*$L$56</f>
        <v>#DIV/0!</v>
      </c>
      <c r="EZ48" s="82" t="e">
        <f>FA39*EY48*0.227</f>
        <v>#N/A</v>
      </c>
      <c r="FC48" s="24"/>
      <c r="FD48" s="24"/>
      <c r="FE48" s="24"/>
      <c r="FF48" s="81" t="e">
        <f>($O$30*0.85)*FI39*0.227</f>
        <v>#DIV/0!</v>
      </c>
      <c r="FG48" s="66" t="e">
        <f>$K$56*$L$56</f>
        <v>#DIV/0!</v>
      </c>
      <c r="FH48" s="82" t="e">
        <f>FI39*FG48*0.227</f>
        <v>#N/A</v>
      </c>
      <c r="FJ48" s="45"/>
      <c r="FK48" s="24"/>
      <c r="FL48" s="24"/>
      <c r="FM48" s="24"/>
      <c r="FN48" s="81" t="e">
        <f>($O$30*0.85)*FQ39*0.227</f>
        <v>#DIV/0!</v>
      </c>
      <c r="FO48" s="66" t="e">
        <f>$K$56*$L$56</f>
        <v>#DIV/0!</v>
      </c>
      <c r="FP48" s="82" t="e">
        <f>FQ39*FO48*0.227</f>
        <v>#N/A</v>
      </c>
      <c r="FR48" s="45"/>
      <c r="FS48" s="24"/>
      <c r="FT48" s="24"/>
      <c r="FU48" s="24"/>
      <c r="FV48" s="81" t="e">
        <f>($O$30*0.85)*FY39*0.227</f>
        <v>#DIV/0!</v>
      </c>
      <c r="FW48" s="66" t="e">
        <f>$K$56*$L$56</f>
        <v>#DIV/0!</v>
      </c>
      <c r="FX48" s="82" t="e">
        <f>FY39*FW48*0.227</f>
        <v>#N/A</v>
      </c>
      <c r="FZ48" s="45"/>
      <c r="GA48" s="24"/>
      <c r="GB48" s="24"/>
      <c r="GC48" s="24"/>
      <c r="GD48" s="81" t="e">
        <f>($O$30*0.85)*GG39*0.227</f>
        <v>#DIV/0!</v>
      </c>
      <c r="GE48" s="66" t="e">
        <f>$K$56*$L$56</f>
        <v>#DIV/0!</v>
      </c>
      <c r="GF48" s="82" t="e">
        <f>GG39*GE48*0.227</f>
        <v>#N/A</v>
      </c>
      <c r="GH48" s="45"/>
      <c r="GI48" s="24"/>
      <c r="GJ48" s="24"/>
      <c r="GK48" s="24"/>
      <c r="GL48" s="81" t="e">
        <f>($O$30*0.85)*GO39*0.227</f>
        <v>#DIV/0!</v>
      </c>
      <c r="GM48" s="66" t="e">
        <f>$K$56*$L$56</f>
        <v>#DIV/0!</v>
      </c>
      <c r="GN48" s="82" t="e">
        <f>GO39*GM48*0.227</f>
        <v>#N/A</v>
      </c>
      <c r="GP48" s="45"/>
      <c r="GQ48" s="45"/>
      <c r="GR48" s="45"/>
      <c r="GS48" s="45"/>
      <c r="GT48" s="95"/>
      <c r="GU48" s="95"/>
      <c r="GV48" s="9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</row>
    <row r="49" spans="1:225" ht="18">
      <c r="A49" s="166"/>
      <c r="B49" s="92"/>
      <c r="C49" s="93"/>
      <c r="D49" s="212"/>
      <c r="E49" s="212"/>
      <c r="F49" s="212"/>
      <c r="G49" s="92"/>
      <c r="H49" s="145"/>
      <c r="I49" s="92"/>
      <c r="K49" s="164" t="e">
        <f>E71</f>
        <v>#DIV/0!</v>
      </c>
      <c r="L49" s="34">
        <f>U41</f>
        <v>1</v>
      </c>
      <c r="M49" s="34" t="e">
        <f>K49/L49</f>
        <v>#DIV/0!</v>
      </c>
      <c r="N49" s="35"/>
      <c r="O49" s="23"/>
      <c r="P49" s="32"/>
      <c r="Q49" s="34"/>
      <c r="R49" s="49" t="e">
        <f>IF(R48&gt;100,100,R48)</f>
        <v>#DIV/0!</v>
      </c>
      <c r="S49" s="34" t="s">
        <v>149</v>
      </c>
      <c r="T49" s="35"/>
      <c r="U49" s="23"/>
      <c r="W49" s="24"/>
      <c r="X49" s="24"/>
      <c r="Y49" s="24"/>
      <c r="Z49" s="83" t="e">
        <f>Z48</f>
        <v>#DIV/0!</v>
      </c>
      <c r="AB49" s="24"/>
      <c r="AC49" s="24"/>
      <c r="AD49" s="24"/>
      <c r="AE49" s="31"/>
      <c r="AF49" s="31"/>
      <c r="AG49" s="24"/>
      <c r="AH49" s="31" t="e">
        <f>Z49+AH48</f>
        <v>#DIV/0!</v>
      </c>
      <c r="AI49" s="24"/>
      <c r="AM49" s="31"/>
      <c r="AN49" s="31"/>
      <c r="AO49" s="24"/>
      <c r="AP49" s="31" t="e">
        <f>AH49+AP48</f>
        <v>#DIV/0!</v>
      </c>
      <c r="AQ49" s="24"/>
      <c r="AU49" s="31"/>
      <c r="AV49" s="31"/>
      <c r="AW49" s="24"/>
      <c r="AX49" s="31" t="e">
        <f>AP49+AX48</f>
        <v>#DIV/0!</v>
      </c>
      <c r="AY49" s="24"/>
      <c r="BC49" s="31"/>
      <c r="BD49" s="31"/>
      <c r="BE49" s="24"/>
      <c r="BF49" s="31" t="e">
        <f>AX49+BF48</f>
        <v>#DIV/0!</v>
      </c>
      <c r="BG49" s="24"/>
      <c r="BK49" s="31"/>
      <c r="BL49" s="31"/>
      <c r="BM49" s="24"/>
      <c r="BN49" s="31" t="e">
        <f>BF49+BN48</f>
        <v>#DIV/0!</v>
      </c>
      <c r="BO49" s="24"/>
      <c r="BS49" s="31"/>
      <c r="BT49" s="31"/>
      <c r="BU49" s="24"/>
      <c r="BV49" s="31" t="e">
        <f>BN49+BV48</f>
        <v>#DIV/0!</v>
      </c>
      <c r="BW49" s="24"/>
      <c r="CA49" s="31"/>
      <c r="CB49" s="31"/>
      <c r="CC49" s="24"/>
      <c r="CD49" s="31" t="e">
        <f>BV49+CD48</f>
        <v>#DIV/0!</v>
      </c>
      <c r="CE49" s="24"/>
      <c r="CI49" s="31"/>
      <c r="CJ49" s="31"/>
      <c r="CK49" s="24"/>
      <c r="CL49" s="31" t="e">
        <f>CD49+CL48</f>
        <v>#DIV/0!</v>
      </c>
      <c r="CM49" s="24"/>
      <c r="CQ49" s="31"/>
      <c r="CR49" s="31"/>
      <c r="CS49" s="24"/>
      <c r="CT49" s="31" t="e">
        <f>CL49+CT48</f>
        <v>#DIV/0!</v>
      </c>
      <c r="CU49" s="24"/>
      <c r="CY49" s="31"/>
      <c r="CZ49" s="31"/>
      <c r="DA49" s="24"/>
      <c r="DB49" s="31" t="e">
        <f>CT49+DB48</f>
        <v>#DIV/0!</v>
      </c>
      <c r="DC49" s="24"/>
      <c r="DG49" s="31"/>
      <c r="DH49" s="31"/>
      <c r="DI49" s="24"/>
      <c r="DJ49" s="31" t="e">
        <f>DB49+DJ48</f>
        <v>#DIV/0!</v>
      </c>
      <c r="DK49" s="24"/>
      <c r="DO49" s="31"/>
      <c r="DP49" s="31"/>
      <c r="DQ49" s="24"/>
      <c r="DR49" s="31" t="e">
        <f>DJ49+DR48</f>
        <v>#DIV/0!</v>
      </c>
      <c r="DS49" s="24"/>
      <c r="DW49" s="31"/>
      <c r="DX49" s="31"/>
      <c r="DY49" s="24"/>
      <c r="DZ49" s="31" t="e">
        <f>DR49+DZ48</f>
        <v>#DIV/0!</v>
      </c>
      <c r="EA49" s="24"/>
      <c r="EE49" s="31"/>
      <c r="EF49" s="31"/>
      <c r="EG49" s="24"/>
      <c r="EH49" s="31" t="e">
        <f>DZ49+EH48</f>
        <v>#DIV/0!</v>
      </c>
      <c r="EI49" s="24"/>
      <c r="EM49" s="31"/>
      <c r="EN49" s="31"/>
      <c r="EO49" s="24"/>
      <c r="EP49" s="31" t="e">
        <f>EH49+EP48</f>
        <v>#DIV/0!</v>
      </c>
      <c r="EQ49" s="24"/>
      <c r="EU49" s="31"/>
      <c r="EV49" s="31"/>
      <c r="EW49" s="24"/>
      <c r="EX49" s="31" t="e">
        <f>EP49+EX48</f>
        <v>#DIV/0!</v>
      </c>
      <c r="EY49" s="24"/>
      <c r="FC49" s="31"/>
      <c r="FD49" s="31"/>
      <c r="FE49" s="24"/>
      <c r="FF49" s="31" t="e">
        <f>EX49+FF48</f>
        <v>#DIV/0!</v>
      </c>
      <c r="FG49" s="24"/>
      <c r="FJ49" s="45"/>
      <c r="FK49" s="31"/>
      <c r="FL49" s="31"/>
      <c r="FM49" s="24"/>
      <c r="FN49" s="31" t="e">
        <f>FF49+FN48</f>
        <v>#DIV/0!</v>
      </c>
      <c r="FO49" s="24"/>
      <c r="FR49" s="45"/>
      <c r="FS49" s="31"/>
      <c r="FT49" s="31"/>
      <c r="FU49" s="24"/>
      <c r="FV49" s="31" t="e">
        <f>FN49+FV48</f>
        <v>#DIV/0!</v>
      </c>
      <c r="FW49" s="24"/>
      <c r="FZ49" s="45"/>
      <c r="GA49" s="31"/>
      <c r="GB49" s="31"/>
      <c r="GC49" s="24"/>
      <c r="GD49" s="31" t="e">
        <f>FV49+GD48</f>
        <v>#DIV/0!</v>
      </c>
      <c r="GE49" s="24"/>
      <c r="GH49" s="45"/>
      <c r="GI49" s="31"/>
      <c r="GJ49" s="31"/>
      <c r="GK49" s="24"/>
      <c r="GL49" s="31" t="e">
        <f>GD49+GL48</f>
        <v>#DIV/0!</v>
      </c>
      <c r="GM49" s="24"/>
      <c r="GP49" s="45"/>
      <c r="GQ49" s="95"/>
      <c r="GR49" s="9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</row>
    <row r="50" spans="1:214" ht="18">
      <c r="A50" s="145"/>
      <c r="B50" s="92"/>
      <c r="C50" s="93"/>
      <c r="D50" s="212"/>
      <c r="E50" s="212"/>
      <c r="F50" s="212"/>
      <c r="G50" s="92"/>
      <c r="H50" s="144"/>
      <c r="I50" s="92"/>
      <c r="K50" s="32">
        <f>D88</f>
        <v>0</v>
      </c>
      <c r="L50" s="34">
        <f>U43</f>
        <v>1</v>
      </c>
      <c r="M50" s="34">
        <f>K50/L50</f>
        <v>0</v>
      </c>
      <c r="N50" s="35"/>
      <c r="O50" s="23"/>
      <c r="P50" s="36"/>
      <c r="Q50" s="38"/>
      <c r="R50" s="61" t="e">
        <f>IF(R49&lt;0,0,R49)</f>
        <v>#DIV/0!</v>
      </c>
      <c r="S50" s="38" t="s">
        <v>150</v>
      </c>
      <c r="T50" s="39"/>
      <c r="U50" s="23"/>
      <c r="W50" s="24"/>
      <c r="X50" s="24"/>
      <c r="Y50" s="24"/>
      <c r="AB50" s="24"/>
      <c r="AC50" s="24"/>
      <c r="AD50" s="24"/>
      <c r="AE50" s="24"/>
      <c r="AF50" s="24"/>
      <c r="AG50" s="24"/>
      <c r="AH50" s="24"/>
      <c r="AI50" s="73" t="s">
        <v>91</v>
      </c>
      <c r="AJ50" s="83" t="e">
        <f>AB48+AJ48</f>
        <v>#N/A</v>
      </c>
      <c r="AK50" s="17" t="s">
        <v>92</v>
      </c>
      <c r="AM50" s="24"/>
      <c r="AN50" s="24"/>
      <c r="AO50" s="24"/>
      <c r="AP50" s="24"/>
      <c r="AQ50" s="73" t="s">
        <v>91</v>
      </c>
      <c r="AR50" s="83" t="e">
        <f>AJ50+AR48</f>
        <v>#N/A</v>
      </c>
      <c r="AS50" s="17" t="s">
        <v>92</v>
      </c>
      <c r="AU50" s="24"/>
      <c r="AV50" s="24"/>
      <c r="AW50" s="24"/>
      <c r="AX50" s="24"/>
      <c r="AY50" s="73" t="s">
        <v>91</v>
      </c>
      <c r="AZ50" s="83" t="e">
        <f>AR50+AZ48</f>
        <v>#N/A</v>
      </c>
      <c r="BA50" s="17" t="s">
        <v>92</v>
      </c>
      <c r="BC50" s="24"/>
      <c r="BD50" s="24"/>
      <c r="BE50" s="24"/>
      <c r="BF50" s="24"/>
      <c r="BG50" s="73" t="s">
        <v>91</v>
      </c>
      <c r="BH50" s="83" t="e">
        <f>AZ50+BH48</f>
        <v>#N/A</v>
      </c>
      <c r="BI50" s="17" t="s">
        <v>92</v>
      </c>
      <c r="BK50" s="24"/>
      <c r="BL50" s="24"/>
      <c r="BM50" s="24"/>
      <c r="BN50" s="24"/>
      <c r="BO50" s="73" t="s">
        <v>91</v>
      </c>
      <c r="BP50" s="83" t="e">
        <f>BH50+BP48</f>
        <v>#N/A</v>
      </c>
      <c r="BQ50" s="17" t="s">
        <v>92</v>
      </c>
      <c r="BS50" s="24"/>
      <c r="BT50" s="24"/>
      <c r="BU50" s="24"/>
      <c r="BV50" s="24"/>
      <c r="BW50" s="73" t="s">
        <v>91</v>
      </c>
      <c r="BX50" s="83" t="e">
        <f>BP50+BX48</f>
        <v>#N/A</v>
      </c>
      <c r="BY50" s="17" t="s">
        <v>92</v>
      </c>
      <c r="CA50" s="24"/>
      <c r="CB50" s="24"/>
      <c r="CC50" s="24"/>
      <c r="CD50" s="24"/>
      <c r="CE50" s="73" t="s">
        <v>91</v>
      </c>
      <c r="CF50" s="83" t="e">
        <f>BX50+CF48</f>
        <v>#N/A</v>
      </c>
      <c r="CG50" s="17" t="s">
        <v>92</v>
      </c>
      <c r="CI50" s="24"/>
      <c r="CJ50" s="24"/>
      <c r="CK50" s="24"/>
      <c r="CL50" s="24"/>
      <c r="CM50" s="73" t="s">
        <v>91</v>
      </c>
      <c r="CN50" s="83" t="e">
        <f>CF50+CN48</f>
        <v>#N/A</v>
      </c>
      <c r="CO50" s="17" t="s">
        <v>92</v>
      </c>
      <c r="CQ50" s="24"/>
      <c r="CR50" s="24"/>
      <c r="CS50" s="24"/>
      <c r="CT50" s="24"/>
      <c r="CU50" s="73" t="s">
        <v>91</v>
      </c>
      <c r="CV50" s="83" t="e">
        <f>CN50+CV48</f>
        <v>#N/A</v>
      </c>
      <c r="CW50" s="17" t="s">
        <v>92</v>
      </c>
      <c r="CY50" s="24"/>
      <c r="CZ50" s="24"/>
      <c r="DA50" s="24"/>
      <c r="DB50" s="24"/>
      <c r="DC50" s="73" t="s">
        <v>91</v>
      </c>
      <c r="DD50" s="83" t="e">
        <f>CV50+DD48</f>
        <v>#N/A</v>
      </c>
      <c r="DE50" s="17" t="s">
        <v>92</v>
      </c>
      <c r="DG50" s="24"/>
      <c r="DH50" s="24"/>
      <c r="DI50" s="24"/>
      <c r="DJ50" s="24"/>
      <c r="DK50" s="73" t="s">
        <v>91</v>
      </c>
      <c r="DL50" s="83" t="e">
        <f>DD50+DL48</f>
        <v>#N/A</v>
      </c>
      <c r="DM50" s="17" t="s">
        <v>92</v>
      </c>
      <c r="DO50" s="24"/>
      <c r="DP50" s="24"/>
      <c r="DQ50" s="24"/>
      <c r="DR50" s="24"/>
      <c r="DS50" s="73" t="s">
        <v>91</v>
      </c>
      <c r="DT50" s="83" t="e">
        <f>DL50+DT48</f>
        <v>#N/A</v>
      </c>
      <c r="DU50" s="17" t="s">
        <v>92</v>
      </c>
      <c r="DW50" s="24"/>
      <c r="DX50" s="24"/>
      <c r="DY50" s="24"/>
      <c r="DZ50" s="24"/>
      <c r="EA50" s="73" t="s">
        <v>91</v>
      </c>
      <c r="EB50" s="83" t="e">
        <f>DT50+EB48</f>
        <v>#N/A</v>
      </c>
      <c r="EC50" s="17" t="s">
        <v>92</v>
      </c>
      <c r="EE50" s="24"/>
      <c r="EF50" s="24"/>
      <c r="EG50" s="24"/>
      <c r="EH50" s="24"/>
      <c r="EI50" s="73" t="s">
        <v>91</v>
      </c>
      <c r="EJ50" s="83" t="e">
        <f>EB50+EJ48</f>
        <v>#N/A</v>
      </c>
      <c r="EK50" s="17" t="s">
        <v>92</v>
      </c>
      <c r="EM50" s="24"/>
      <c r="EN50" s="24"/>
      <c r="EO50" s="24"/>
      <c r="EP50" s="24"/>
      <c r="EQ50" s="73" t="s">
        <v>91</v>
      </c>
      <c r="ER50" s="83" t="e">
        <f>EJ50+ER48</f>
        <v>#N/A</v>
      </c>
      <c r="ES50" s="17" t="s">
        <v>92</v>
      </c>
      <c r="EU50" s="24"/>
      <c r="EV50" s="24"/>
      <c r="EW50" s="24"/>
      <c r="EX50" s="24"/>
      <c r="EY50" s="73" t="s">
        <v>91</v>
      </c>
      <c r="EZ50" s="83" t="e">
        <f>ER50+EZ48</f>
        <v>#N/A</v>
      </c>
      <c r="FA50" s="17" t="s">
        <v>92</v>
      </c>
      <c r="FC50" s="24"/>
      <c r="FD50" s="24"/>
      <c r="FE50" s="24"/>
      <c r="FF50" s="24"/>
      <c r="FG50" s="73" t="s">
        <v>91</v>
      </c>
      <c r="FH50" s="83" t="e">
        <f>EZ50+FH48</f>
        <v>#N/A</v>
      </c>
      <c r="FI50" s="17" t="s">
        <v>92</v>
      </c>
      <c r="FJ50" s="92"/>
      <c r="FK50" s="24"/>
      <c r="FL50" s="24"/>
      <c r="FM50" s="24"/>
      <c r="FN50" s="24"/>
      <c r="FO50" s="73" t="s">
        <v>91</v>
      </c>
      <c r="FP50" s="83" t="e">
        <f>FH50+FP48</f>
        <v>#N/A</v>
      </c>
      <c r="FQ50" s="17" t="s">
        <v>92</v>
      </c>
      <c r="FR50" s="92"/>
      <c r="FS50" s="24"/>
      <c r="FT50" s="24"/>
      <c r="FU50" s="24"/>
      <c r="FV50" s="24"/>
      <c r="FW50" s="73" t="s">
        <v>91</v>
      </c>
      <c r="FX50" s="83" t="e">
        <f>FP50+FX48</f>
        <v>#N/A</v>
      </c>
      <c r="FY50" s="17" t="s">
        <v>92</v>
      </c>
      <c r="FZ50" s="92"/>
      <c r="GA50" s="24"/>
      <c r="GB50" s="24"/>
      <c r="GC50" s="24"/>
      <c r="GD50" s="24"/>
      <c r="GE50" s="73" t="s">
        <v>91</v>
      </c>
      <c r="GF50" s="83" t="e">
        <f>FX50+GF48</f>
        <v>#N/A</v>
      </c>
      <c r="GG50" s="17" t="s">
        <v>92</v>
      </c>
      <c r="GH50" s="92"/>
      <c r="GI50" s="24"/>
      <c r="GJ50" s="24"/>
      <c r="GK50" s="24"/>
      <c r="GL50" s="24"/>
      <c r="GM50" s="73" t="s">
        <v>91</v>
      </c>
      <c r="GN50" s="83" t="e">
        <f>GF50+GN48</f>
        <v>#N/A</v>
      </c>
      <c r="GO50" s="17" t="s">
        <v>92</v>
      </c>
      <c r="GP50" s="92"/>
      <c r="GQ50" s="45"/>
      <c r="GR50" s="45"/>
      <c r="GS50" s="45"/>
      <c r="GT50" s="45"/>
      <c r="GU50" s="93"/>
      <c r="GV50" s="100"/>
      <c r="GW50" s="92"/>
      <c r="GX50" s="92"/>
      <c r="GY50" s="92"/>
      <c r="GZ50" s="92"/>
      <c r="HA50" s="92"/>
      <c r="HB50" s="92"/>
      <c r="HC50" s="92"/>
      <c r="HD50" s="92"/>
      <c r="HE50" s="92"/>
      <c r="HF50" s="92"/>
    </row>
    <row r="51" spans="1:44" ht="14.25">
      <c r="A51" s="45"/>
      <c r="B51" s="92"/>
      <c r="C51" s="92"/>
      <c r="D51" s="92"/>
      <c r="E51" s="92"/>
      <c r="F51" s="144"/>
      <c r="G51" s="92"/>
      <c r="H51" s="145"/>
      <c r="I51" s="92"/>
      <c r="K51" s="36"/>
      <c r="L51" s="38" t="s">
        <v>151</v>
      </c>
      <c r="M51" s="38" t="e">
        <f>M49+M50</f>
        <v>#DIV/0!</v>
      </c>
      <c r="N51" s="39" t="s">
        <v>152</v>
      </c>
      <c r="O51" s="23"/>
      <c r="P51" s="23"/>
      <c r="Q51" s="23"/>
      <c r="R51" s="23"/>
      <c r="S51" s="23"/>
      <c r="T51" s="23"/>
      <c r="U51" s="23"/>
      <c r="Y51" s="24"/>
      <c r="Z51" s="24"/>
      <c r="AA51" s="24"/>
      <c r="AB51" s="24"/>
      <c r="AC51" s="24"/>
      <c r="AD51" s="24"/>
      <c r="AE51" s="24"/>
      <c r="AF51" s="24"/>
      <c r="AM51" s="24"/>
      <c r="AN51" s="24"/>
      <c r="AO51" s="24"/>
      <c r="AP51" s="24"/>
      <c r="AQ51" s="73"/>
      <c r="AR51" s="83"/>
    </row>
    <row r="52" spans="10:32" ht="14.25">
      <c r="J52" s="122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Y52" s="24"/>
      <c r="Z52" s="24"/>
      <c r="AA52" s="24"/>
      <c r="AB52" s="24"/>
      <c r="AC52" s="24"/>
      <c r="AD52" s="24"/>
      <c r="AE52" s="24"/>
      <c r="AF52" s="24"/>
    </row>
    <row r="53" spans="1:21" ht="14.25">
      <c r="A53" s="166"/>
      <c r="B53" s="165"/>
      <c r="H53" s="45"/>
      <c r="I53" s="45"/>
      <c r="K53" s="23" t="s">
        <v>153</v>
      </c>
      <c r="L53" s="23"/>
      <c r="M53" s="23"/>
      <c r="N53" s="23"/>
      <c r="O53" s="23"/>
      <c r="P53" s="23" t="s">
        <v>154</v>
      </c>
      <c r="Q53" s="23"/>
      <c r="R53" s="23"/>
      <c r="S53" s="23"/>
      <c r="T53" s="23"/>
      <c r="U53" s="23"/>
    </row>
    <row r="54" spans="3:21" ht="14.25">
      <c r="C54" s="124"/>
      <c r="D54" s="124"/>
      <c r="E54" s="124"/>
      <c r="F54" s="124"/>
      <c r="G54" s="124"/>
      <c r="I54" s="45"/>
      <c r="K54" s="19" t="s">
        <v>155</v>
      </c>
      <c r="L54" s="20"/>
      <c r="M54" s="20"/>
      <c r="N54" s="22"/>
      <c r="O54" s="23"/>
      <c r="P54" s="19" t="s">
        <v>156</v>
      </c>
      <c r="Q54" s="20"/>
      <c r="R54" s="20"/>
      <c r="S54" s="22"/>
      <c r="T54" s="23"/>
      <c r="U54" s="23"/>
    </row>
    <row r="55" spans="3:197" ht="15.75">
      <c r="C55" s="123"/>
      <c r="D55" s="208"/>
      <c r="E55" s="209" t="s">
        <v>111</v>
      </c>
      <c r="F55" s="208"/>
      <c r="G55" s="123"/>
      <c r="K55" s="32" t="s">
        <v>157</v>
      </c>
      <c r="L55" s="34"/>
      <c r="M55" s="34" t="s">
        <v>158</v>
      </c>
      <c r="N55" s="35"/>
      <c r="O55" s="23"/>
      <c r="P55" s="32" t="s">
        <v>158</v>
      </c>
      <c r="Q55" s="34"/>
      <c r="R55" s="101" t="s">
        <v>159</v>
      </c>
      <c r="S55" s="35"/>
      <c r="T55" s="23"/>
      <c r="U55" s="23"/>
      <c r="Y55" s="17">
        <f>VLOOKUP(45,$P$73:$S$128,$R$71+1)</f>
        <v>0.2</v>
      </c>
      <c r="Z55" s="17" t="s">
        <v>17</v>
      </c>
      <c r="AB55" s="24"/>
      <c r="AC55" s="24"/>
      <c r="AG55" s="17">
        <f>VLOOKUP(46,$P$73:$S$128,$R$71+1)</f>
        <v>2.67</v>
      </c>
      <c r="AH55" s="17" t="s">
        <v>17</v>
      </c>
      <c r="AJ55" s="24"/>
      <c r="AK55" s="24"/>
      <c r="AO55" s="17">
        <f>VLOOKUP(47,$P$73:$S$128,$R$71+1)</f>
        <v>1.6</v>
      </c>
      <c r="AP55" s="17" t="s">
        <v>17</v>
      </c>
      <c r="AR55" s="24"/>
      <c r="AS55" s="24"/>
      <c r="AW55" s="17">
        <f>VLOOKUP(48,$P$73:$S$128,$R$71+1)</f>
        <v>0.36</v>
      </c>
      <c r="AX55" s="17" t="s">
        <v>17</v>
      </c>
      <c r="AZ55" s="24"/>
      <c r="BA55" s="24"/>
      <c r="BE55" s="17">
        <f>VLOOKUP(49,$P$73:$S$128,$R$71+1)</f>
        <v>0.27</v>
      </c>
      <c r="BF55" s="17" t="s">
        <v>17</v>
      </c>
      <c r="BH55" s="24"/>
      <c r="BI55" s="24"/>
      <c r="BM55" s="17">
        <f>VLOOKUP(50,$P$73:$S$128,$R$71+1)</f>
        <v>0.1</v>
      </c>
      <c r="BN55" s="17" t="s">
        <v>17</v>
      </c>
      <c r="BP55" s="24"/>
      <c r="BQ55" s="24"/>
      <c r="BU55" s="17">
        <f>VLOOKUP(51,$P$73:$S$128,$R$71+1)</f>
        <v>0.14</v>
      </c>
      <c r="BV55" s="17" t="s">
        <v>17</v>
      </c>
      <c r="BX55" s="24"/>
      <c r="BY55" s="24"/>
      <c r="CC55" s="17">
        <f>VLOOKUP(52,$P$73:$S$128,$R$71+1)</f>
        <v>0.39</v>
      </c>
      <c r="CD55" s="17" t="s">
        <v>17</v>
      </c>
      <c r="CF55" s="24"/>
      <c r="CG55" s="24"/>
      <c r="CK55" s="17">
        <f>VLOOKUP(53,$P$73:$S$128,$R$71+1)</f>
        <v>0.2</v>
      </c>
      <c r="CL55" s="17" t="s">
        <v>17</v>
      </c>
      <c r="CN55" s="24"/>
      <c r="CO55" s="24"/>
      <c r="CS55" s="17">
        <f>VLOOKUP(54,$P$73:$S$128,$R$71+1)</f>
        <v>0.37</v>
      </c>
      <c r="CT55" s="17" t="s">
        <v>17</v>
      </c>
      <c r="CV55" s="24"/>
      <c r="CW55" s="24"/>
      <c r="DA55" s="17">
        <f>VLOOKUP(55,$P$73:$S$128,$R$71+1)</f>
        <v>0.19</v>
      </c>
      <c r="DB55" s="17" t="s">
        <v>17</v>
      </c>
      <c r="DD55" s="24"/>
      <c r="DE55" s="24"/>
      <c r="DI55" s="17">
        <f>VLOOKUP(56,$P$73:$S$128,$R$71+1)</f>
        <v>0.51</v>
      </c>
      <c r="DJ55" s="17" t="s">
        <v>17</v>
      </c>
      <c r="DL55" s="24"/>
      <c r="DM55" s="24"/>
      <c r="DQ55" s="17">
        <f>VLOOKUP(57,$P$73:$S$142,$R$71+1)</f>
        <v>0.13</v>
      </c>
      <c r="DR55" s="17" t="s">
        <v>17</v>
      </c>
      <c r="DT55" s="24"/>
      <c r="DU55" s="24"/>
      <c r="DY55" s="17">
        <f>VLOOKUP(58,$P$73:$S$142,$R$71+1)</f>
        <v>0.13</v>
      </c>
      <c r="DZ55" s="17" t="s">
        <v>17</v>
      </c>
      <c r="EB55" s="24"/>
      <c r="EC55" s="24"/>
      <c r="EG55" s="17">
        <f>VLOOKUP(59,$P$73:$S$142,$R$71+1)</f>
        <v>0.3</v>
      </c>
      <c r="EH55" s="17" t="s">
        <v>17</v>
      </c>
      <c r="EJ55" s="24"/>
      <c r="EK55" s="24"/>
      <c r="EO55" s="17">
        <f>VLOOKUP(60,$P$73:$S$142,$R$71+1)</f>
        <v>0.47</v>
      </c>
      <c r="EP55" s="17" t="s">
        <v>17</v>
      </c>
      <c r="ER55" s="24"/>
      <c r="ES55" s="24"/>
      <c r="EW55" s="17">
        <f>VLOOKUP(61,$P$73:$S$142,$R$71+1)</f>
        <v>0.24</v>
      </c>
      <c r="EX55" s="17" t="s">
        <v>17</v>
      </c>
      <c r="EZ55" s="24"/>
      <c r="FA55" s="24"/>
      <c r="FE55" s="17">
        <f>VLOOKUP(62,$P$73:$S$142,$R$71+1)</f>
        <v>0.2</v>
      </c>
      <c r="FF55" s="17" t="s">
        <v>17</v>
      </c>
      <c r="FH55" s="24"/>
      <c r="FI55" s="24"/>
      <c r="FM55" s="17">
        <f>VLOOKUP(63,$P$73:$S$142,$R$71+1)</f>
        <v>0.27</v>
      </c>
      <c r="FN55" s="17" t="s">
        <v>17</v>
      </c>
      <c r="FP55" s="24"/>
      <c r="FQ55" s="24"/>
      <c r="FU55" s="17">
        <f>VLOOKUP(64,$P$73:$S$142,$R$71+1)</f>
        <v>0.11</v>
      </c>
      <c r="FV55" s="17" t="s">
        <v>17</v>
      </c>
      <c r="FX55" s="24"/>
      <c r="FY55" s="24"/>
      <c r="GC55" s="17">
        <f>VLOOKUP(65,$P$73:$S$142,$R$71+1)</f>
        <v>0.14</v>
      </c>
      <c r="GD55" s="17" t="s">
        <v>17</v>
      </c>
      <c r="GF55" s="24"/>
      <c r="GG55" s="24"/>
      <c r="GK55" s="17">
        <f>VLOOKUP(66,$P$73:$S$142,$R$71+1)</f>
        <v>0.92</v>
      </c>
      <c r="GL55" s="17" t="s">
        <v>17</v>
      </c>
      <c r="GN55" s="24"/>
      <c r="GO55" s="24"/>
    </row>
    <row r="56" spans="1:197" ht="14.25">
      <c r="A56" s="92"/>
      <c r="B56" s="92"/>
      <c r="C56" s="123"/>
      <c r="D56" s="192"/>
      <c r="E56" s="161" t="s">
        <v>112</v>
      </c>
      <c r="F56" s="192">
        <v>0.59</v>
      </c>
      <c r="G56" s="123"/>
      <c r="H56" s="92"/>
      <c r="I56" s="92"/>
      <c r="K56" s="36" t="e">
        <f>M40</f>
        <v>#DIV/0!</v>
      </c>
      <c r="L56" s="61" t="e">
        <f>1-(R50/100)</f>
        <v>#DIV/0!</v>
      </c>
      <c r="M56" s="61" t="e">
        <f>$K$56*$L$56</f>
        <v>#DIV/0!</v>
      </c>
      <c r="N56" s="39"/>
      <c r="O56" s="23"/>
      <c r="P56" s="97" t="e">
        <f>M56</f>
        <v>#DIV/0!</v>
      </c>
      <c r="Q56" s="38"/>
      <c r="R56" s="38"/>
      <c r="S56" s="39"/>
      <c r="T56" s="23"/>
      <c r="U56" s="23"/>
      <c r="W56" s="40"/>
      <c r="X56" s="41" t="s">
        <v>42</v>
      </c>
      <c r="Y56" s="41" t="s">
        <v>43</v>
      </c>
      <c r="Z56" s="42" t="s">
        <v>0</v>
      </c>
      <c r="AA56" s="42" t="s">
        <v>44</v>
      </c>
      <c r="AB56" s="41" t="s">
        <v>45</v>
      </c>
      <c r="AC56" s="43" t="s">
        <v>46</v>
      </c>
      <c r="AE56" s="40"/>
      <c r="AF56" s="41" t="s">
        <v>42</v>
      </c>
      <c r="AG56" s="41" t="s">
        <v>43</v>
      </c>
      <c r="AH56" s="42" t="s">
        <v>0</v>
      </c>
      <c r="AI56" s="42" t="s">
        <v>44</v>
      </c>
      <c r="AJ56" s="41" t="s">
        <v>45</v>
      </c>
      <c r="AK56" s="43" t="s">
        <v>46</v>
      </c>
      <c r="AM56" s="40"/>
      <c r="AN56" s="41" t="s">
        <v>42</v>
      </c>
      <c r="AO56" s="41" t="s">
        <v>43</v>
      </c>
      <c r="AP56" s="42" t="s">
        <v>0</v>
      </c>
      <c r="AQ56" s="42" t="s">
        <v>44</v>
      </c>
      <c r="AR56" s="41" t="s">
        <v>45</v>
      </c>
      <c r="AS56" s="43" t="s">
        <v>46</v>
      </c>
      <c r="AU56" s="40"/>
      <c r="AV56" s="41" t="s">
        <v>42</v>
      </c>
      <c r="AW56" s="41" t="s">
        <v>43</v>
      </c>
      <c r="AX56" s="42" t="s">
        <v>0</v>
      </c>
      <c r="AY56" s="42" t="s">
        <v>44</v>
      </c>
      <c r="AZ56" s="41" t="s">
        <v>45</v>
      </c>
      <c r="BA56" s="43" t="s">
        <v>46</v>
      </c>
      <c r="BC56" s="40"/>
      <c r="BD56" s="41" t="s">
        <v>42</v>
      </c>
      <c r="BE56" s="41" t="s">
        <v>43</v>
      </c>
      <c r="BF56" s="42" t="s">
        <v>0</v>
      </c>
      <c r="BG56" s="42" t="s">
        <v>44</v>
      </c>
      <c r="BH56" s="41" t="s">
        <v>45</v>
      </c>
      <c r="BI56" s="43" t="s">
        <v>46</v>
      </c>
      <c r="BK56" s="40"/>
      <c r="BL56" s="41" t="s">
        <v>42</v>
      </c>
      <c r="BM56" s="41" t="s">
        <v>43</v>
      </c>
      <c r="BN56" s="42" t="s">
        <v>0</v>
      </c>
      <c r="BO56" s="42" t="s">
        <v>44</v>
      </c>
      <c r="BP56" s="41" t="s">
        <v>45</v>
      </c>
      <c r="BQ56" s="43" t="s">
        <v>46</v>
      </c>
      <c r="BS56" s="40"/>
      <c r="BT56" s="41" t="s">
        <v>42</v>
      </c>
      <c r="BU56" s="41" t="s">
        <v>43</v>
      </c>
      <c r="BV56" s="42" t="s">
        <v>0</v>
      </c>
      <c r="BW56" s="42" t="s">
        <v>44</v>
      </c>
      <c r="BX56" s="41" t="s">
        <v>45</v>
      </c>
      <c r="BY56" s="43" t="s">
        <v>46</v>
      </c>
      <c r="CA56" s="40"/>
      <c r="CB56" s="41" t="s">
        <v>42</v>
      </c>
      <c r="CC56" s="41" t="s">
        <v>43</v>
      </c>
      <c r="CD56" s="42" t="s">
        <v>0</v>
      </c>
      <c r="CE56" s="42" t="s">
        <v>44</v>
      </c>
      <c r="CF56" s="41" t="s">
        <v>45</v>
      </c>
      <c r="CG56" s="43" t="s">
        <v>46</v>
      </c>
      <c r="CI56" s="40"/>
      <c r="CJ56" s="41" t="s">
        <v>42</v>
      </c>
      <c r="CK56" s="41" t="s">
        <v>43</v>
      </c>
      <c r="CL56" s="42" t="s">
        <v>0</v>
      </c>
      <c r="CM56" s="42" t="s">
        <v>44</v>
      </c>
      <c r="CN56" s="41" t="s">
        <v>45</v>
      </c>
      <c r="CO56" s="43" t="s">
        <v>46</v>
      </c>
      <c r="CQ56" s="40"/>
      <c r="CR56" s="41" t="s">
        <v>42</v>
      </c>
      <c r="CS56" s="41" t="s">
        <v>43</v>
      </c>
      <c r="CT56" s="42" t="s">
        <v>0</v>
      </c>
      <c r="CU56" s="42" t="s">
        <v>44</v>
      </c>
      <c r="CV56" s="41" t="s">
        <v>45</v>
      </c>
      <c r="CW56" s="43" t="s">
        <v>46</v>
      </c>
      <c r="CY56" s="40"/>
      <c r="CZ56" s="41" t="s">
        <v>42</v>
      </c>
      <c r="DA56" s="41" t="s">
        <v>43</v>
      </c>
      <c r="DB56" s="42" t="s">
        <v>0</v>
      </c>
      <c r="DC56" s="42" t="s">
        <v>44</v>
      </c>
      <c r="DD56" s="41" t="s">
        <v>45</v>
      </c>
      <c r="DE56" s="43" t="s">
        <v>46</v>
      </c>
      <c r="DG56" s="40"/>
      <c r="DH56" s="41" t="s">
        <v>42</v>
      </c>
      <c r="DI56" s="41" t="s">
        <v>43</v>
      </c>
      <c r="DJ56" s="42" t="s">
        <v>0</v>
      </c>
      <c r="DK56" s="42" t="s">
        <v>44</v>
      </c>
      <c r="DL56" s="41" t="s">
        <v>45</v>
      </c>
      <c r="DM56" s="43" t="s">
        <v>46</v>
      </c>
      <c r="DO56" s="40"/>
      <c r="DP56" s="41" t="s">
        <v>42</v>
      </c>
      <c r="DQ56" s="41" t="s">
        <v>43</v>
      </c>
      <c r="DR56" s="42" t="s">
        <v>0</v>
      </c>
      <c r="DS56" s="42" t="s">
        <v>44</v>
      </c>
      <c r="DT56" s="41" t="s">
        <v>45</v>
      </c>
      <c r="DU56" s="43" t="s">
        <v>46</v>
      </c>
      <c r="DW56" s="40"/>
      <c r="DX56" s="41" t="s">
        <v>42</v>
      </c>
      <c r="DY56" s="41" t="s">
        <v>43</v>
      </c>
      <c r="DZ56" s="42" t="s">
        <v>0</v>
      </c>
      <c r="EA56" s="42" t="s">
        <v>44</v>
      </c>
      <c r="EB56" s="41" t="s">
        <v>45</v>
      </c>
      <c r="EC56" s="43" t="s">
        <v>46</v>
      </c>
      <c r="EE56" s="40"/>
      <c r="EF56" s="41" t="s">
        <v>42</v>
      </c>
      <c r="EG56" s="41" t="s">
        <v>43</v>
      </c>
      <c r="EH56" s="42" t="s">
        <v>0</v>
      </c>
      <c r="EI56" s="42" t="s">
        <v>44</v>
      </c>
      <c r="EJ56" s="41" t="s">
        <v>45</v>
      </c>
      <c r="EK56" s="43" t="s">
        <v>46</v>
      </c>
      <c r="EM56" s="40"/>
      <c r="EN56" s="41" t="s">
        <v>42</v>
      </c>
      <c r="EO56" s="41" t="s">
        <v>43</v>
      </c>
      <c r="EP56" s="42" t="s">
        <v>0</v>
      </c>
      <c r="EQ56" s="42" t="s">
        <v>44</v>
      </c>
      <c r="ER56" s="41" t="s">
        <v>45</v>
      </c>
      <c r="ES56" s="43" t="s">
        <v>46</v>
      </c>
      <c r="EU56" s="40"/>
      <c r="EV56" s="41" t="s">
        <v>42</v>
      </c>
      <c r="EW56" s="41" t="s">
        <v>43</v>
      </c>
      <c r="EX56" s="42" t="s">
        <v>0</v>
      </c>
      <c r="EY56" s="42" t="s">
        <v>44</v>
      </c>
      <c r="EZ56" s="41" t="s">
        <v>45</v>
      </c>
      <c r="FA56" s="43" t="s">
        <v>46</v>
      </c>
      <c r="FC56" s="40"/>
      <c r="FD56" s="41" t="s">
        <v>42</v>
      </c>
      <c r="FE56" s="41" t="s">
        <v>43</v>
      </c>
      <c r="FF56" s="42" t="s">
        <v>0</v>
      </c>
      <c r="FG56" s="42" t="s">
        <v>44</v>
      </c>
      <c r="FH56" s="41" t="s">
        <v>45</v>
      </c>
      <c r="FI56" s="43" t="s">
        <v>46</v>
      </c>
      <c r="FK56" s="40"/>
      <c r="FL56" s="41" t="s">
        <v>42</v>
      </c>
      <c r="FM56" s="41" t="s">
        <v>43</v>
      </c>
      <c r="FN56" s="42" t="s">
        <v>0</v>
      </c>
      <c r="FO56" s="42" t="s">
        <v>44</v>
      </c>
      <c r="FP56" s="41" t="s">
        <v>45</v>
      </c>
      <c r="FQ56" s="43" t="s">
        <v>46</v>
      </c>
      <c r="FS56" s="40"/>
      <c r="FT56" s="41" t="s">
        <v>42</v>
      </c>
      <c r="FU56" s="41" t="s">
        <v>43</v>
      </c>
      <c r="FV56" s="42" t="s">
        <v>0</v>
      </c>
      <c r="FW56" s="42" t="s">
        <v>44</v>
      </c>
      <c r="FX56" s="41" t="s">
        <v>45</v>
      </c>
      <c r="FY56" s="43" t="s">
        <v>46</v>
      </c>
      <c r="GA56" s="40"/>
      <c r="GB56" s="41" t="s">
        <v>42</v>
      </c>
      <c r="GC56" s="41" t="s">
        <v>43</v>
      </c>
      <c r="GD56" s="42" t="s">
        <v>0</v>
      </c>
      <c r="GE56" s="42" t="s">
        <v>44</v>
      </c>
      <c r="GF56" s="41" t="s">
        <v>45</v>
      </c>
      <c r="GG56" s="43" t="s">
        <v>46</v>
      </c>
      <c r="GI56" s="40"/>
      <c r="GJ56" s="41" t="s">
        <v>42</v>
      </c>
      <c r="GK56" s="41" t="s">
        <v>43</v>
      </c>
      <c r="GL56" s="42" t="s">
        <v>0</v>
      </c>
      <c r="GM56" s="42" t="s">
        <v>44</v>
      </c>
      <c r="GN56" s="41" t="s">
        <v>45</v>
      </c>
      <c r="GO56" s="43" t="s">
        <v>46</v>
      </c>
    </row>
    <row r="57" spans="1:197" ht="14.25">
      <c r="A57" s="144"/>
      <c r="B57" s="1"/>
      <c r="C57" s="123"/>
      <c r="D57" s="192"/>
      <c r="E57" s="161" t="s">
        <v>115</v>
      </c>
      <c r="F57" s="192">
        <v>0.59</v>
      </c>
      <c r="G57" s="123"/>
      <c r="H57" s="92"/>
      <c r="I57" s="92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W57" s="51" t="s">
        <v>50</v>
      </c>
      <c r="X57" s="24">
        <f>$E$12</f>
        <v>0</v>
      </c>
      <c r="Y57" s="52">
        <f>X57/43560</f>
        <v>0</v>
      </c>
      <c r="Z57" s="53" t="e">
        <f>$O$4</f>
        <v>#N/A</v>
      </c>
      <c r="AA57" s="31" t="e">
        <f>(1000/Z57)-10</f>
        <v>#N/A</v>
      </c>
      <c r="AB57" s="31" t="e">
        <f>(Y55-0.2*AA57)^2/(Y55+0.8*AA57)</f>
        <v>#N/A</v>
      </c>
      <c r="AC57" s="54" t="e">
        <f>IF(Y55&gt;0,AB57*Y57,0)</f>
        <v>#N/A</v>
      </c>
      <c r="AE57" s="51" t="s">
        <v>50</v>
      </c>
      <c r="AF57" s="24">
        <f>$E$12</f>
        <v>0</v>
      </c>
      <c r="AG57" s="52">
        <f>AF57/43560</f>
        <v>0</v>
      </c>
      <c r="AH57" s="53" t="e">
        <f>$O$4</f>
        <v>#N/A</v>
      </c>
      <c r="AI57" s="31" t="e">
        <f>(1000/AH57)-10</f>
        <v>#N/A</v>
      </c>
      <c r="AJ57" s="31" t="e">
        <f>(AG55-0.2*AI57)^2/(AG55+0.8*AI57)</f>
        <v>#N/A</v>
      </c>
      <c r="AK57" s="54" t="e">
        <f>IF(AG55&gt;0,AJ57*AG57,0)</f>
        <v>#N/A</v>
      </c>
      <c r="AM57" s="51" t="s">
        <v>50</v>
      </c>
      <c r="AN57" s="24">
        <f>$E$12</f>
        <v>0</v>
      </c>
      <c r="AO57" s="52">
        <f>AN57/43560</f>
        <v>0</v>
      </c>
      <c r="AP57" s="53" t="e">
        <f>$O$4</f>
        <v>#N/A</v>
      </c>
      <c r="AQ57" s="31" t="e">
        <f>(1000/AP57)-10</f>
        <v>#N/A</v>
      </c>
      <c r="AR57" s="31" t="e">
        <f>(AO55-0.2*AQ57)^2/(AO55+0.8*AQ57)</f>
        <v>#N/A</v>
      </c>
      <c r="AS57" s="54" t="e">
        <f>IF(AO55&gt;0,AR57*AO57,0)</f>
        <v>#N/A</v>
      </c>
      <c r="AU57" s="51" t="s">
        <v>50</v>
      </c>
      <c r="AV57" s="24">
        <f>$E$12</f>
        <v>0</v>
      </c>
      <c r="AW57" s="52">
        <f>AV57/43560</f>
        <v>0</v>
      </c>
      <c r="AX57" s="53" t="e">
        <f>$O$4</f>
        <v>#N/A</v>
      </c>
      <c r="AY57" s="31" t="e">
        <f>(1000/AX57)-10</f>
        <v>#N/A</v>
      </c>
      <c r="AZ57" s="31" t="e">
        <f>(AW55-0.2*AY57)^2/(AW55+0.8*AY57)</f>
        <v>#N/A</v>
      </c>
      <c r="BA57" s="54" t="e">
        <f>IF(AW55&gt;0,AZ57*AW57,0)</f>
        <v>#N/A</v>
      </c>
      <c r="BC57" s="51" t="s">
        <v>50</v>
      </c>
      <c r="BD57" s="24">
        <f>$E$12</f>
        <v>0</v>
      </c>
      <c r="BE57" s="52">
        <f>BD57/43560</f>
        <v>0</v>
      </c>
      <c r="BF57" s="53" t="e">
        <f>$O$4</f>
        <v>#N/A</v>
      </c>
      <c r="BG57" s="31" t="e">
        <f>(1000/BF57)-10</f>
        <v>#N/A</v>
      </c>
      <c r="BH57" s="31" t="e">
        <f>(BE55-0.2*BG57)^2/(BE55+0.8*BG57)</f>
        <v>#N/A</v>
      </c>
      <c r="BI57" s="54" t="e">
        <f>IF(BE55&gt;0,BH57*BE57,0)</f>
        <v>#N/A</v>
      </c>
      <c r="BK57" s="51" t="s">
        <v>50</v>
      </c>
      <c r="BL57" s="24">
        <f>$E$12</f>
        <v>0</v>
      </c>
      <c r="BM57" s="52">
        <f>BL57/43560</f>
        <v>0</v>
      </c>
      <c r="BN57" s="53" t="e">
        <f>$O$4</f>
        <v>#N/A</v>
      </c>
      <c r="BO57" s="31" t="e">
        <f>(1000/BN57)-10</f>
        <v>#N/A</v>
      </c>
      <c r="BP57" s="31" t="e">
        <f>(BM55-0.2*BO57)^2/(BM55+0.8*BO57)</f>
        <v>#N/A</v>
      </c>
      <c r="BQ57" s="54" t="e">
        <f>IF(BM55&gt;0,BP57*BM57,0)</f>
        <v>#N/A</v>
      </c>
      <c r="BS57" s="51" t="s">
        <v>50</v>
      </c>
      <c r="BT57" s="24">
        <f>$E$12</f>
        <v>0</v>
      </c>
      <c r="BU57" s="52">
        <f>BT57/43560</f>
        <v>0</v>
      </c>
      <c r="BV57" s="53" t="e">
        <f>$O$4</f>
        <v>#N/A</v>
      </c>
      <c r="BW57" s="31" t="e">
        <f>(1000/BV57)-10</f>
        <v>#N/A</v>
      </c>
      <c r="BX57" s="31" t="e">
        <f>(BU55-0.2*BW57)^2/(BU55+0.8*BW57)</f>
        <v>#N/A</v>
      </c>
      <c r="BY57" s="54" t="e">
        <f>IF(BU55&gt;0,BX57*BU57,0)</f>
        <v>#N/A</v>
      </c>
      <c r="CA57" s="51" t="s">
        <v>50</v>
      </c>
      <c r="CB57" s="24">
        <f>$E$12</f>
        <v>0</v>
      </c>
      <c r="CC57" s="52">
        <f>CB57/43560</f>
        <v>0</v>
      </c>
      <c r="CD57" s="53" t="e">
        <f>$O$4</f>
        <v>#N/A</v>
      </c>
      <c r="CE57" s="31" t="e">
        <f>(1000/CD57)-10</f>
        <v>#N/A</v>
      </c>
      <c r="CF57" s="31" t="e">
        <f>(CC55-0.2*CE57)^2/(CC55+0.8*CE57)</f>
        <v>#N/A</v>
      </c>
      <c r="CG57" s="54" t="e">
        <f>IF(CC55&gt;0,CF57*CC57,0)</f>
        <v>#N/A</v>
      </c>
      <c r="CI57" s="51" t="s">
        <v>50</v>
      </c>
      <c r="CJ57" s="24">
        <f>$E$12</f>
        <v>0</v>
      </c>
      <c r="CK57" s="52">
        <f>CJ57/43560</f>
        <v>0</v>
      </c>
      <c r="CL57" s="53" t="e">
        <f>$O$4</f>
        <v>#N/A</v>
      </c>
      <c r="CM57" s="31" t="e">
        <f>(1000/CL57)-10</f>
        <v>#N/A</v>
      </c>
      <c r="CN57" s="31" t="e">
        <f>(CK55-0.2*CM57)^2/(CK55+0.8*CM57)</f>
        <v>#N/A</v>
      </c>
      <c r="CO57" s="54" t="e">
        <f>IF(CK55&gt;0,CN57*CK57,0)</f>
        <v>#N/A</v>
      </c>
      <c r="CQ57" s="51" t="s">
        <v>50</v>
      </c>
      <c r="CR57" s="24">
        <f>$E$12</f>
        <v>0</v>
      </c>
      <c r="CS57" s="52">
        <f>CR57/43560</f>
        <v>0</v>
      </c>
      <c r="CT57" s="53" t="e">
        <f>$O$4</f>
        <v>#N/A</v>
      </c>
      <c r="CU57" s="31" t="e">
        <f>(1000/CT57)-10</f>
        <v>#N/A</v>
      </c>
      <c r="CV57" s="31" t="e">
        <f>(CS55-0.2*CU57)^2/(CS55+0.8*CU57)</f>
        <v>#N/A</v>
      </c>
      <c r="CW57" s="54" t="e">
        <f>IF(CS55&gt;0,CV57*CS57,0)</f>
        <v>#N/A</v>
      </c>
      <c r="CY57" s="51" t="s">
        <v>50</v>
      </c>
      <c r="CZ57" s="24">
        <f>$E$12</f>
        <v>0</v>
      </c>
      <c r="DA57" s="52">
        <f>CZ57/43560</f>
        <v>0</v>
      </c>
      <c r="DB57" s="53" t="e">
        <f>$O$4</f>
        <v>#N/A</v>
      </c>
      <c r="DC57" s="31" t="e">
        <f>(1000/DB57)-10</f>
        <v>#N/A</v>
      </c>
      <c r="DD57" s="31" t="e">
        <f>(DA55-0.2*DC57)^2/(DA55+0.8*DC57)</f>
        <v>#N/A</v>
      </c>
      <c r="DE57" s="54" t="e">
        <f>IF(DA55&gt;0,DD57*DA57,0)</f>
        <v>#N/A</v>
      </c>
      <c r="DG57" s="51" t="s">
        <v>50</v>
      </c>
      <c r="DH57" s="24">
        <f>$E$12</f>
        <v>0</v>
      </c>
      <c r="DI57" s="52">
        <f>DH57/43560</f>
        <v>0</v>
      </c>
      <c r="DJ57" s="53" t="e">
        <f>$O$4</f>
        <v>#N/A</v>
      </c>
      <c r="DK57" s="31" t="e">
        <f>(1000/DJ57)-10</f>
        <v>#N/A</v>
      </c>
      <c r="DL57" s="31" t="e">
        <f>(DI55-0.2*DK57)^2/(DI55+0.8*DK57)</f>
        <v>#N/A</v>
      </c>
      <c r="DM57" s="54" t="e">
        <f>IF(DI55&gt;0,DL57*DI57,0)</f>
        <v>#N/A</v>
      </c>
      <c r="DO57" s="51" t="s">
        <v>50</v>
      </c>
      <c r="DP57" s="24">
        <f>$E$12</f>
        <v>0</v>
      </c>
      <c r="DQ57" s="52">
        <f>DP57/43560</f>
        <v>0</v>
      </c>
      <c r="DR57" s="53" t="e">
        <f>$O$4</f>
        <v>#N/A</v>
      </c>
      <c r="DS57" s="31" t="e">
        <f>(1000/DR57)-10</f>
        <v>#N/A</v>
      </c>
      <c r="DT57" s="31" t="e">
        <f>(DQ55-0.2*DS57)^2/(DQ55+0.8*DS57)</f>
        <v>#N/A</v>
      </c>
      <c r="DU57" s="54" t="e">
        <f>IF(DQ55&gt;0,DT57*DQ57,0)</f>
        <v>#N/A</v>
      </c>
      <c r="DW57" s="51" t="s">
        <v>50</v>
      </c>
      <c r="DX57" s="24">
        <f>$E$12</f>
        <v>0</v>
      </c>
      <c r="DY57" s="52">
        <f>DX57/43560</f>
        <v>0</v>
      </c>
      <c r="DZ57" s="53" t="e">
        <f>$O$4</f>
        <v>#N/A</v>
      </c>
      <c r="EA57" s="31" t="e">
        <f>(1000/DZ57)-10</f>
        <v>#N/A</v>
      </c>
      <c r="EB57" s="31" t="e">
        <f>(DY55-0.2*EA57)^2/(DY55+0.8*EA57)</f>
        <v>#N/A</v>
      </c>
      <c r="EC57" s="54" t="e">
        <f>IF(DY55&gt;0,EB57*DY57,0)</f>
        <v>#N/A</v>
      </c>
      <c r="EE57" s="51" t="s">
        <v>50</v>
      </c>
      <c r="EF57" s="24">
        <f>$E$12</f>
        <v>0</v>
      </c>
      <c r="EG57" s="52">
        <f>EF57/43560</f>
        <v>0</v>
      </c>
      <c r="EH57" s="53" t="e">
        <f>$O$4</f>
        <v>#N/A</v>
      </c>
      <c r="EI57" s="31" t="e">
        <f>(1000/EH57)-10</f>
        <v>#N/A</v>
      </c>
      <c r="EJ57" s="31" t="e">
        <f>(EG55-0.2*EI57)^2/(EG55+0.8*EI57)</f>
        <v>#N/A</v>
      </c>
      <c r="EK57" s="54" t="e">
        <f>IF(EG55&gt;0,EJ57*EG57,0)</f>
        <v>#N/A</v>
      </c>
      <c r="EM57" s="51" t="s">
        <v>50</v>
      </c>
      <c r="EN57" s="24">
        <f>$E$12</f>
        <v>0</v>
      </c>
      <c r="EO57" s="52">
        <f>EN57/43560</f>
        <v>0</v>
      </c>
      <c r="EP57" s="53" t="e">
        <f>$O$4</f>
        <v>#N/A</v>
      </c>
      <c r="EQ57" s="31" t="e">
        <f>(1000/EP57)-10</f>
        <v>#N/A</v>
      </c>
      <c r="ER57" s="31" t="e">
        <f>(EO55-0.2*EQ57)^2/(EO55+0.8*EQ57)</f>
        <v>#N/A</v>
      </c>
      <c r="ES57" s="54" t="e">
        <f>IF(EO55&gt;0,ER57*EO57,0)</f>
        <v>#N/A</v>
      </c>
      <c r="EU57" s="51" t="s">
        <v>50</v>
      </c>
      <c r="EV57" s="24">
        <f>$E$12</f>
        <v>0</v>
      </c>
      <c r="EW57" s="52">
        <f>EV57/43560</f>
        <v>0</v>
      </c>
      <c r="EX57" s="53" t="e">
        <f>$O$4</f>
        <v>#N/A</v>
      </c>
      <c r="EY57" s="31" t="e">
        <f>(1000/EX57)-10</f>
        <v>#N/A</v>
      </c>
      <c r="EZ57" s="31" t="e">
        <f>(EW55-0.2*EY57)^2/(EW55+0.8*EY57)</f>
        <v>#N/A</v>
      </c>
      <c r="FA57" s="54" t="e">
        <f>IF(EW55&gt;0,EZ57*EW57,0)</f>
        <v>#N/A</v>
      </c>
      <c r="FC57" s="51" t="s">
        <v>50</v>
      </c>
      <c r="FD57" s="24">
        <f>$E$12</f>
        <v>0</v>
      </c>
      <c r="FE57" s="52">
        <f>FD57/43560</f>
        <v>0</v>
      </c>
      <c r="FF57" s="53" t="e">
        <f>$O$4</f>
        <v>#N/A</v>
      </c>
      <c r="FG57" s="31" t="e">
        <f>(1000/FF57)-10</f>
        <v>#N/A</v>
      </c>
      <c r="FH57" s="31" t="e">
        <f>(FE55-0.2*FG57)^2/(FE55+0.8*FG57)</f>
        <v>#N/A</v>
      </c>
      <c r="FI57" s="54" t="e">
        <f>IF(FE55&gt;0,FH57*FE57,0)</f>
        <v>#N/A</v>
      </c>
      <c r="FK57" s="51" t="s">
        <v>50</v>
      </c>
      <c r="FL57" s="24">
        <f>$E$12</f>
        <v>0</v>
      </c>
      <c r="FM57" s="52">
        <f>FL57/43560</f>
        <v>0</v>
      </c>
      <c r="FN57" s="53" t="e">
        <f>$O$4</f>
        <v>#N/A</v>
      </c>
      <c r="FO57" s="31" t="e">
        <f>(1000/FN57)-10</f>
        <v>#N/A</v>
      </c>
      <c r="FP57" s="31" t="e">
        <f>(FM55-0.2*FO57)^2/(FM55+0.8*FO57)</f>
        <v>#N/A</v>
      </c>
      <c r="FQ57" s="54" t="e">
        <f>IF(FM55&gt;0,FP57*FM57,0)</f>
        <v>#N/A</v>
      </c>
      <c r="FS57" s="51" t="s">
        <v>50</v>
      </c>
      <c r="FT57" s="24">
        <f>$E$12</f>
        <v>0</v>
      </c>
      <c r="FU57" s="52">
        <f>FT57/43560</f>
        <v>0</v>
      </c>
      <c r="FV57" s="53" t="e">
        <f>$O$4</f>
        <v>#N/A</v>
      </c>
      <c r="FW57" s="31" t="e">
        <f>(1000/FV57)-10</f>
        <v>#N/A</v>
      </c>
      <c r="FX57" s="31" t="e">
        <f>(FU55-0.2*FW57)^2/(FU55+0.8*FW57)</f>
        <v>#N/A</v>
      </c>
      <c r="FY57" s="54" t="e">
        <f>IF(FU55&gt;0,FX57*FU57,0)</f>
        <v>#N/A</v>
      </c>
      <c r="GA57" s="51" t="s">
        <v>50</v>
      </c>
      <c r="GB57" s="24">
        <f>$E$12</f>
        <v>0</v>
      </c>
      <c r="GC57" s="52">
        <f>GB57/43560</f>
        <v>0</v>
      </c>
      <c r="GD57" s="53" t="e">
        <f>$O$4</f>
        <v>#N/A</v>
      </c>
      <c r="GE57" s="31" t="e">
        <f>(1000/GD57)-10</f>
        <v>#N/A</v>
      </c>
      <c r="GF57" s="31" t="e">
        <f>(GC55-0.2*GE57)^2/(GC55+0.8*GE57)</f>
        <v>#N/A</v>
      </c>
      <c r="GG57" s="54" t="e">
        <f>IF(GC55&gt;0,GF57*GC57,0)</f>
        <v>#N/A</v>
      </c>
      <c r="GI57" s="51" t="s">
        <v>50</v>
      </c>
      <c r="GJ57" s="24">
        <f>$E$12</f>
        <v>0</v>
      </c>
      <c r="GK57" s="52">
        <f>GJ57/43560</f>
        <v>0</v>
      </c>
      <c r="GL57" s="53" t="e">
        <f>$O$4</f>
        <v>#N/A</v>
      </c>
      <c r="GM57" s="31" t="e">
        <f>(1000/GL57)-10</f>
        <v>#N/A</v>
      </c>
      <c r="GN57" s="31" t="e">
        <f>(GK55-0.2*GM57)^2/(GK55+0.8*GM57)</f>
        <v>#N/A</v>
      </c>
      <c r="GO57" s="54" t="e">
        <f>IF(GK55&gt;0,GN57*GK57,0)</f>
        <v>#N/A</v>
      </c>
    </row>
    <row r="58" spans="1:197" ht="14.25">
      <c r="A58" s="92"/>
      <c r="B58" s="92"/>
      <c r="C58" s="123"/>
      <c r="D58" s="192"/>
      <c r="E58" s="161" t="s">
        <v>120</v>
      </c>
      <c r="F58" s="192">
        <v>0.29</v>
      </c>
      <c r="G58" s="123"/>
      <c r="H58" s="92"/>
      <c r="I58" s="92"/>
      <c r="K58" s="23" t="s">
        <v>160</v>
      </c>
      <c r="L58" s="23"/>
      <c r="M58" s="23"/>
      <c r="N58" s="23"/>
      <c r="O58" s="23"/>
      <c r="P58" s="23"/>
      <c r="Q58" s="23"/>
      <c r="R58" s="23"/>
      <c r="S58" s="23"/>
      <c r="T58" s="23"/>
      <c r="U58" s="23"/>
      <c r="W58" s="51"/>
      <c r="X58" s="24"/>
      <c r="Y58" s="24"/>
      <c r="Z58" s="24"/>
      <c r="AA58" s="24"/>
      <c r="AB58" s="24"/>
      <c r="AC58" s="56"/>
      <c r="AE58" s="51"/>
      <c r="AF58" s="24"/>
      <c r="AG58" s="24"/>
      <c r="AH58" s="24"/>
      <c r="AI58" s="24"/>
      <c r="AJ58" s="24"/>
      <c r="AK58" s="56"/>
      <c r="AM58" s="51"/>
      <c r="AN58" s="24"/>
      <c r="AO58" s="24"/>
      <c r="AP58" s="24"/>
      <c r="AQ58" s="24"/>
      <c r="AR58" s="24"/>
      <c r="AS58" s="56"/>
      <c r="AU58" s="51"/>
      <c r="AV58" s="24"/>
      <c r="AW58" s="24"/>
      <c r="AX58" s="24"/>
      <c r="AY58" s="24"/>
      <c r="AZ58" s="24"/>
      <c r="BA58" s="56"/>
      <c r="BC58" s="51"/>
      <c r="BD58" s="24"/>
      <c r="BE58" s="24"/>
      <c r="BF58" s="24"/>
      <c r="BG58" s="24"/>
      <c r="BH58" s="24"/>
      <c r="BI58" s="56"/>
      <c r="BK58" s="51"/>
      <c r="BL58" s="24"/>
      <c r="BM58" s="24"/>
      <c r="BN58" s="24"/>
      <c r="BO58" s="24"/>
      <c r="BP58" s="24"/>
      <c r="BQ58" s="56"/>
      <c r="BS58" s="51"/>
      <c r="BT58" s="24"/>
      <c r="BU58" s="24"/>
      <c r="BV58" s="24"/>
      <c r="BW58" s="24"/>
      <c r="BX58" s="24"/>
      <c r="BY58" s="56"/>
      <c r="CA58" s="51"/>
      <c r="CB58" s="24"/>
      <c r="CC58" s="24"/>
      <c r="CD58" s="24"/>
      <c r="CE58" s="24"/>
      <c r="CF58" s="24"/>
      <c r="CG58" s="56"/>
      <c r="CI58" s="51"/>
      <c r="CJ58" s="24"/>
      <c r="CK58" s="24"/>
      <c r="CL58" s="24"/>
      <c r="CM58" s="24"/>
      <c r="CN58" s="24"/>
      <c r="CO58" s="56"/>
      <c r="CQ58" s="51"/>
      <c r="CR58" s="24"/>
      <c r="CS58" s="24"/>
      <c r="CT58" s="24"/>
      <c r="CU58" s="24"/>
      <c r="CV58" s="24"/>
      <c r="CW58" s="56"/>
      <c r="CY58" s="51"/>
      <c r="CZ58" s="24"/>
      <c r="DA58" s="24"/>
      <c r="DB58" s="24"/>
      <c r="DC58" s="24"/>
      <c r="DD58" s="24"/>
      <c r="DE58" s="56"/>
      <c r="DG58" s="51"/>
      <c r="DH58" s="24"/>
      <c r="DI58" s="24"/>
      <c r="DJ58" s="24"/>
      <c r="DK58" s="24"/>
      <c r="DL58" s="24"/>
      <c r="DM58" s="56"/>
      <c r="DO58" s="51"/>
      <c r="DP58" s="24"/>
      <c r="DQ58" s="24"/>
      <c r="DR58" s="24"/>
      <c r="DS58" s="24"/>
      <c r="DT58" s="24"/>
      <c r="DU58" s="56"/>
      <c r="DW58" s="51"/>
      <c r="DX58" s="24"/>
      <c r="DY58" s="24"/>
      <c r="DZ58" s="24"/>
      <c r="EA58" s="24"/>
      <c r="EB58" s="24"/>
      <c r="EC58" s="56"/>
      <c r="EE58" s="51"/>
      <c r="EF58" s="24"/>
      <c r="EG58" s="24"/>
      <c r="EH58" s="24"/>
      <c r="EI58" s="24"/>
      <c r="EJ58" s="24"/>
      <c r="EK58" s="56"/>
      <c r="EM58" s="51"/>
      <c r="EN58" s="24"/>
      <c r="EO58" s="24"/>
      <c r="EP58" s="24"/>
      <c r="EQ58" s="24"/>
      <c r="ER58" s="24"/>
      <c r="ES58" s="56"/>
      <c r="EU58" s="51"/>
      <c r="EV58" s="24"/>
      <c r="EW58" s="24"/>
      <c r="EX58" s="24"/>
      <c r="EY58" s="24"/>
      <c r="EZ58" s="24"/>
      <c r="FA58" s="56"/>
      <c r="FC58" s="51"/>
      <c r="FD58" s="24"/>
      <c r="FE58" s="24"/>
      <c r="FF58" s="24"/>
      <c r="FG58" s="24"/>
      <c r="FH58" s="24"/>
      <c r="FI58" s="56"/>
      <c r="FK58" s="51"/>
      <c r="FL58" s="24"/>
      <c r="FM58" s="24"/>
      <c r="FN58" s="24"/>
      <c r="FO58" s="24"/>
      <c r="FP58" s="24"/>
      <c r="FQ58" s="56"/>
      <c r="FS58" s="51"/>
      <c r="FT58" s="24"/>
      <c r="FU58" s="24"/>
      <c r="FV58" s="24"/>
      <c r="FW58" s="24"/>
      <c r="FX58" s="24"/>
      <c r="FY58" s="56"/>
      <c r="GA58" s="51"/>
      <c r="GB58" s="24"/>
      <c r="GC58" s="24"/>
      <c r="GD58" s="24"/>
      <c r="GE58" s="24"/>
      <c r="GF58" s="24"/>
      <c r="GG58" s="56"/>
      <c r="GI58" s="51"/>
      <c r="GJ58" s="24"/>
      <c r="GK58" s="24"/>
      <c r="GL58" s="24"/>
      <c r="GM58" s="24"/>
      <c r="GN58" s="24"/>
      <c r="GO58" s="56"/>
    </row>
    <row r="59" spans="1:197" ht="14.25">
      <c r="A59" s="92"/>
      <c r="B59" s="92"/>
      <c r="C59" s="182"/>
      <c r="D59" s="24"/>
      <c r="E59" s="96" t="s">
        <v>295</v>
      </c>
      <c r="F59" s="207">
        <v>0.44</v>
      </c>
      <c r="G59" s="123"/>
      <c r="H59" s="92"/>
      <c r="I59" s="92"/>
      <c r="K59" s="19" t="s">
        <v>161</v>
      </c>
      <c r="L59" s="20"/>
      <c r="M59" s="22"/>
      <c r="N59" s="23"/>
      <c r="O59" s="23"/>
      <c r="P59" s="23"/>
      <c r="Q59" s="23"/>
      <c r="R59" s="23"/>
      <c r="S59" s="23"/>
      <c r="T59" s="23"/>
      <c r="U59" s="23"/>
      <c r="W59" s="51" t="s">
        <v>53</v>
      </c>
      <c r="X59" s="24"/>
      <c r="Y59" s="24"/>
      <c r="Z59" s="24"/>
      <c r="AA59" s="24"/>
      <c r="AB59" s="24"/>
      <c r="AC59" s="56"/>
      <c r="AE59" s="51" t="s">
        <v>53</v>
      </c>
      <c r="AF59" s="24"/>
      <c r="AG59" s="24"/>
      <c r="AH59" s="24"/>
      <c r="AI59" s="24"/>
      <c r="AJ59" s="24"/>
      <c r="AK59" s="56"/>
      <c r="AM59" s="51" t="s">
        <v>53</v>
      </c>
      <c r="AN59" s="24"/>
      <c r="AO59" s="24"/>
      <c r="AP59" s="24"/>
      <c r="AQ59" s="24"/>
      <c r="AR59" s="24"/>
      <c r="AS59" s="56"/>
      <c r="AU59" s="51" t="s">
        <v>53</v>
      </c>
      <c r="AV59" s="24"/>
      <c r="AW59" s="24"/>
      <c r="AX59" s="24"/>
      <c r="AY59" s="24"/>
      <c r="AZ59" s="24"/>
      <c r="BA59" s="56"/>
      <c r="BC59" s="51" t="s">
        <v>53</v>
      </c>
      <c r="BD59" s="24"/>
      <c r="BE59" s="24"/>
      <c r="BF59" s="24"/>
      <c r="BG59" s="24"/>
      <c r="BH59" s="24"/>
      <c r="BI59" s="56"/>
      <c r="BK59" s="51" t="s">
        <v>53</v>
      </c>
      <c r="BL59" s="24"/>
      <c r="BM59" s="24"/>
      <c r="BN59" s="24"/>
      <c r="BO59" s="24"/>
      <c r="BP59" s="24"/>
      <c r="BQ59" s="56"/>
      <c r="BS59" s="51" t="s">
        <v>53</v>
      </c>
      <c r="BT59" s="24"/>
      <c r="BU59" s="24"/>
      <c r="BV59" s="24"/>
      <c r="BW59" s="24"/>
      <c r="BX59" s="24"/>
      <c r="BY59" s="56"/>
      <c r="CA59" s="51" t="s">
        <v>53</v>
      </c>
      <c r="CB59" s="24"/>
      <c r="CC59" s="24"/>
      <c r="CD59" s="24"/>
      <c r="CE59" s="24"/>
      <c r="CF59" s="24"/>
      <c r="CG59" s="56"/>
      <c r="CI59" s="51" t="s">
        <v>53</v>
      </c>
      <c r="CJ59" s="24"/>
      <c r="CK59" s="24"/>
      <c r="CL59" s="24"/>
      <c r="CM59" s="24"/>
      <c r="CN59" s="24"/>
      <c r="CO59" s="56"/>
      <c r="CQ59" s="51" t="s">
        <v>53</v>
      </c>
      <c r="CR59" s="24"/>
      <c r="CS59" s="24"/>
      <c r="CT59" s="24"/>
      <c r="CU59" s="24"/>
      <c r="CV59" s="24"/>
      <c r="CW59" s="56"/>
      <c r="CY59" s="51" t="s">
        <v>53</v>
      </c>
      <c r="CZ59" s="24"/>
      <c r="DA59" s="24"/>
      <c r="DB59" s="24"/>
      <c r="DC59" s="24"/>
      <c r="DD59" s="24"/>
      <c r="DE59" s="56"/>
      <c r="DG59" s="51" t="s">
        <v>53</v>
      </c>
      <c r="DH59" s="24"/>
      <c r="DI59" s="24"/>
      <c r="DJ59" s="24"/>
      <c r="DK59" s="24"/>
      <c r="DL59" s="24"/>
      <c r="DM59" s="56"/>
      <c r="DO59" s="51" t="s">
        <v>53</v>
      </c>
      <c r="DP59" s="24"/>
      <c r="DQ59" s="24"/>
      <c r="DR59" s="24"/>
      <c r="DS59" s="24"/>
      <c r="DT59" s="24"/>
      <c r="DU59" s="56"/>
      <c r="DW59" s="51" t="s">
        <v>53</v>
      </c>
      <c r="DX59" s="24"/>
      <c r="DY59" s="24"/>
      <c r="DZ59" s="24"/>
      <c r="EA59" s="24"/>
      <c r="EB59" s="24"/>
      <c r="EC59" s="56"/>
      <c r="EE59" s="51" t="s">
        <v>53</v>
      </c>
      <c r="EF59" s="24"/>
      <c r="EG59" s="24"/>
      <c r="EH59" s="24"/>
      <c r="EI59" s="24"/>
      <c r="EJ59" s="24"/>
      <c r="EK59" s="56"/>
      <c r="EM59" s="51" t="s">
        <v>53</v>
      </c>
      <c r="EN59" s="24"/>
      <c r="EO59" s="24"/>
      <c r="EP59" s="24"/>
      <c r="EQ59" s="24"/>
      <c r="ER59" s="24"/>
      <c r="ES59" s="56"/>
      <c r="EU59" s="51" t="s">
        <v>53</v>
      </c>
      <c r="EV59" s="24"/>
      <c r="EW59" s="24"/>
      <c r="EX59" s="24"/>
      <c r="EY59" s="24"/>
      <c r="EZ59" s="24"/>
      <c r="FA59" s="56"/>
      <c r="FC59" s="51" t="s">
        <v>53</v>
      </c>
      <c r="FD59" s="24"/>
      <c r="FE59" s="24"/>
      <c r="FF59" s="24"/>
      <c r="FG59" s="24"/>
      <c r="FH59" s="24"/>
      <c r="FI59" s="56"/>
      <c r="FK59" s="51" t="s">
        <v>53</v>
      </c>
      <c r="FL59" s="24"/>
      <c r="FM59" s="24"/>
      <c r="FN59" s="24"/>
      <c r="FO59" s="24"/>
      <c r="FP59" s="24"/>
      <c r="FQ59" s="56"/>
      <c r="FS59" s="51" t="s">
        <v>53</v>
      </c>
      <c r="FT59" s="24"/>
      <c r="FU59" s="24"/>
      <c r="FV59" s="24"/>
      <c r="FW59" s="24"/>
      <c r="FX59" s="24"/>
      <c r="FY59" s="56"/>
      <c r="GA59" s="51" t="s">
        <v>53</v>
      </c>
      <c r="GB59" s="24"/>
      <c r="GC59" s="24"/>
      <c r="GD59" s="24"/>
      <c r="GE59" s="24"/>
      <c r="GF59" s="24"/>
      <c r="GG59" s="56"/>
      <c r="GI59" s="51" t="s">
        <v>53</v>
      </c>
      <c r="GJ59" s="24"/>
      <c r="GK59" s="24"/>
      <c r="GL59" s="24"/>
      <c r="GM59" s="24"/>
      <c r="GN59" s="24"/>
      <c r="GO59" s="56"/>
    </row>
    <row r="60" spans="1:197" ht="14.25">
      <c r="A60" s="92"/>
      <c r="B60" s="92"/>
      <c r="C60" s="182"/>
      <c r="D60" s="24"/>
      <c r="E60" s="96" t="s">
        <v>294</v>
      </c>
      <c r="F60" s="207">
        <v>0.29</v>
      </c>
      <c r="G60" s="123"/>
      <c r="H60" s="92"/>
      <c r="I60" s="92"/>
      <c r="K60" s="32" t="s">
        <v>157</v>
      </c>
      <c r="L60" s="34"/>
      <c r="M60" s="35" t="s">
        <v>162</v>
      </c>
      <c r="N60" s="23"/>
      <c r="O60" s="23"/>
      <c r="P60" s="23"/>
      <c r="Q60" s="23"/>
      <c r="R60" s="23"/>
      <c r="S60" s="23"/>
      <c r="T60" s="23"/>
      <c r="U60" s="23"/>
      <c r="W60" s="51">
        <v>1</v>
      </c>
      <c r="X60" s="24">
        <f>$D$24</f>
        <v>0</v>
      </c>
      <c r="Y60" s="52">
        <f>X60/43560</f>
        <v>0</v>
      </c>
      <c r="Z60" s="24">
        <f>IF($D$25&lt;60,60,$D$25)</f>
        <v>60</v>
      </c>
      <c r="AA60" s="31">
        <f>(1000/Z60)-10</f>
        <v>6.666666666666668</v>
      </c>
      <c r="AB60" s="58">
        <f>IF(Y55-(0.2*AA60)&gt;0,(Y55-0.2*AA60)^2/(Y55+0.8*AA60),0)</f>
        <v>0</v>
      </c>
      <c r="AC60" s="54">
        <f>IF(Y55&gt;0,AB60*Y60,0)</f>
        <v>0</v>
      </c>
      <c r="AE60" s="51">
        <v>1</v>
      </c>
      <c r="AF60" s="24">
        <f>$D$24</f>
        <v>0</v>
      </c>
      <c r="AG60" s="52">
        <f>AF60/43560</f>
        <v>0</v>
      </c>
      <c r="AH60" s="24">
        <f>IF($D$25&lt;60,60,$D$25)</f>
        <v>60</v>
      </c>
      <c r="AI60" s="31">
        <f>(1000/AH60)-10</f>
        <v>6.666666666666668</v>
      </c>
      <c r="AJ60" s="58">
        <f>IF(AG55-(0.2*AI60)&gt;0,(AG55-0.2*AI60)^2/(AG55+0.8*AI60),0)</f>
        <v>0.22324170484520323</v>
      </c>
      <c r="AK60" s="54">
        <f>IF(AG55&gt;0,AJ60*AG60,0)</f>
        <v>0</v>
      </c>
      <c r="AM60" s="51">
        <v>1</v>
      </c>
      <c r="AN60" s="24">
        <f>$D$24</f>
        <v>0</v>
      </c>
      <c r="AO60" s="52">
        <f>AN60/43560</f>
        <v>0</v>
      </c>
      <c r="AP60" s="24">
        <f>IF($D$25&lt;60,60,$D$25)</f>
        <v>60</v>
      </c>
      <c r="AQ60" s="31">
        <f>(1000/AP60)-10</f>
        <v>6.666666666666668</v>
      </c>
      <c r="AR60" s="58">
        <f>IF(AO55-(0.2*AQ60)&gt;0,(AO55-0.2*AQ60)^2/(AO55+0.8*AQ60),0)</f>
        <v>0.010256410256410232</v>
      </c>
      <c r="AS60" s="54">
        <f>IF(AO55&gt;0,AR60*AO60,0)</f>
        <v>0</v>
      </c>
      <c r="AU60" s="51">
        <v>1</v>
      </c>
      <c r="AV60" s="24">
        <f>$D$24</f>
        <v>0</v>
      </c>
      <c r="AW60" s="52">
        <f>AV60/43560</f>
        <v>0</v>
      </c>
      <c r="AX60" s="24">
        <f>IF($D$25&lt;60,60,$D$25)</f>
        <v>60</v>
      </c>
      <c r="AY60" s="31">
        <f>(1000/AX60)-10</f>
        <v>6.666666666666668</v>
      </c>
      <c r="AZ60" s="58">
        <f>IF(AW55-(0.2*AY60)&gt;0,(AW55-0.2*AY60)^2/(AW55+0.8*AY60),0)</f>
        <v>0</v>
      </c>
      <c r="BA60" s="54">
        <f>IF(AW55&gt;0,AZ60*AW60,0)</f>
        <v>0</v>
      </c>
      <c r="BC60" s="51">
        <v>1</v>
      </c>
      <c r="BD60" s="24">
        <f>$D$24</f>
        <v>0</v>
      </c>
      <c r="BE60" s="52">
        <f>BD60/43560</f>
        <v>0</v>
      </c>
      <c r="BF60" s="24">
        <f>IF($D$25&lt;60,60,$D$25)</f>
        <v>60</v>
      </c>
      <c r="BG60" s="31">
        <f>(1000/BF60)-10</f>
        <v>6.666666666666668</v>
      </c>
      <c r="BH60" s="58">
        <f>IF(BE55-(0.2*BG60)&gt;0,(BE55-0.2*BG60)^2/(BE55+0.8*BG60),0)</f>
        <v>0</v>
      </c>
      <c r="BI60" s="54">
        <f>IF(BE55&gt;0,BH60*BE60,0)</f>
        <v>0</v>
      </c>
      <c r="BK60" s="51">
        <v>1</v>
      </c>
      <c r="BL60" s="24">
        <f>$D$24</f>
        <v>0</v>
      </c>
      <c r="BM60" s="52">
        <f>BL60/43560</f>
        <v>0</v>
      </c>
      <c r="BN60" s="24">
        <f>IF($D$25&lt;60,60,$D$25)</f>
        <v>60</v>
      </c>
      <c r="BO60" s="31">
        <f>(1000/BN60)-10</f>
        <v>6.666666666666668</v>
      </c>
      <c r="BP60" s="58">
        <f>IF(BM55-(0.2*BO60)&gt;0,(BM55-0.2*BO60)^2/(BM55+0.8*BO60),0)</f>
        <v>0</v>
      </c>
      <c r="BQ60" s="54">
        <f>IF(BM55&gt;0,BP60*BM60,0)</f>
        <v>0</v>
      </c>
      <c r="BS60" s="51">
        <v>1</v>
      </c>
      <c r="BT60" s="24">
        <f>$D$24</f>
        <v>0</v>
      </c>
      <c r="BU60" s="52">
        <f>BT60/43560</f>
        <v>0</v>
      </c>
      <c r="BV60" s="24">
        <f>IF($D$25&lt;60,60,$D$25)</f>
        <v>60</v>
      </c>
      <c r="BW60" s="31">
        <f>(1000/BV60)-10</f>
        <v>6.666666666666668</v>
      </c>
      <c r="BX60" s="58">
        <f>IF(BU55-(0.2*BW60)&gt;0,(BU55-0.2*BW60)^2/(BU55+0.8*BW60),0)</f>
        <v>0</v>
      </c>
      <c r="BY60" s="54">
        <f>IF(BU55&gt;0,BX60*BU60,0)</f>
        <v>0</v>
      </c>
      <c r="CA60" s="51">
        <v>1</v>
      </c>
      <c r="CB60" s="24">
        <f>$D$24</f>
        <v>0</v>
      </c>
      <c r="CC60" s="52">
        <f>CB60/43560</f>
        <v>0</v>
      </c>
      <c r="CD60" s="24">
        <f>IF($D$25&lt;60,60,$D$25)</f>
        <v>60</v>
      </c>
      <c r="CE60" s="31">
        <f>(1000/CD60)-10</f>
        <v>6.666666666666668</v>
      </c>
      <c r="CF60" s="58">
        <f>IF(CC55-(0.2*CE60)&gt;0,(CC55-0.2*CE60)^2/(CC55+0.8*CE60),0)</f>
        <v>0</v>
      </c>
      <c r="CG60" s="54">
        <f>IF(CC55&gt;0,CF60*CC60,0)</f>
        <v>0</v>
      </c>
      <c r="CI60" s="51">
        <v>1</v>
      </c>
      <c r="CJ60" s="24">
        <f>$D$24</f>
        <v>0</v>
      </c>
      <c r="CK60" s="52">
        <f>CJ60/43560</f>
        <v>0</v>
      </c>
      <c r="CL60" s="24">
        <f>IF($D$25&lt;60,60,$D$25)</f>
        <v>60</v>
      </c>
      <c r="CM60" s="31">
        <f>(1000/CL60)-10</f>
        <v>6.666666666666668</v>
      </c>
      <c r="CN60" s="58">
        <f>IF(CK55-(0.2*CM60)&gt;0,(CK55-0.2*CM60)^2/(CK55+0.8*CM60),0)</f>
        <v>0</v>
      </c>
      <c r="CO60" s="54">
        <f>IF(CK55&gt;0,CN60*CK60,0)</f>
        <v>0</v>
      </c>
      <c r="CQ60" s="51">
        <v>1</v>
      </c>
      <c r="CR60" s="24">
        <f>$D$24</f>
        <v>0</v>
      </c>
      <c r="CS60" s="52">
        <f>CR60/43560</f>
        <v>0</v>
      </c>
      <c r="CT60" s="24">
        <f>IF($D$25&lt;60,60,$D$25)</f>
        <v>60</v>
      </c>
      <c r="CU60" s="31">
        <f>(1000/CT60)-10</f>
        <v>6.666666666666668</v>
      </c>
      <c r="CV60" s="58">
        <f>IF(CS55-(0.2*CU60)&gt;0,(CS55-0.2*CU60)^2/(CS55+0.8*CU60),0)</f>
        <v>0</v>
      </c>
      <c r="CW60" s="54">
        <f>IF(CS55&gt;0,CV60*CS60,0)</f>
        <v>0</v>
      </c>
      <c r="CY60" s="51">
        <v>1</v>
      </c>
      <c r="CZ60" s="24">
        <f>$D$24</f>
        <v>0</v>
      </c>
      <c r="DA60" s="52">
        <f>CZ60/43560</f>
        <v>0</v>
      </c>
      <c r="DB60" s="24">
        <f>IF($D$25&lt;60,60,$D$25)</f>
        <v>60</v>
      </c>
      <c r="DC60" s="31">
        <f>(1000/DB60)-10</f>
        <v>6.666666666666668</v>
      </c>
      <c r="DD60" s="58">
        <f>IF(DA55-(0.2*DC60)&gt;0,(DA55-0.2*DC60)^2/(DA55+0.8*DC60),0)</f>
        <v>0</v>
      </c>
      <c r="DE60" s="54">
        <f>IF(DA55&gt;0,DD60*DA60,0)</f>
        <v>0</v>
      </c>
      <c r="DG60" s="51">
        <v>1</v>
      </c>
      <c r="DH60" s="24">
        <f>$D$24</f>
        <v>0</v>
      </c>
      <c r="DI60" s="52">
        <f>DH60/43560</f>
        <v>0</v>
      </c>
      <c r="DJ60" s="24">
        <f>IF($D$25&lt;60,60,$D$25)</f>
        <v>60</v>
      </c>
      <c r="DK60" s="31">
        <f>(1000/DJ60)-10</f>
        <v>6.666666666666668</v>
      </c>
      <c r="DL60" s="58">
        <f>IF(DI55-(0.2*DK60)&gt;0,(DI55-0.2*DK60)^2/(DI55+0.8*DK60),0)</f>
        <v>0</v>
      </c>
      <c r="DM60" s="54">
        <f>IF(DI55&gt;0,DL60*DI60,0)</f>
        <v>0</v>
      </c>
      <c r="DO60" s="51">
        <v>1</v>
      </c>
      <c r="DP60" s="24">
        <f>$D$24</f>
        <v>0</v>
      </c>
      <c r="DQ60" s="52">
        <f>DP60/43560</f>
        <v>0</v>
      </c>
      <c r="DR60" s="24">
        <f>IF($D$25&lt;60,60,$D$25)</f>
        <v>60</v>
      </c>
      <c r="DS60" s="31">
        <f>(1000/DR60)-10</f>
        <v>6.666666666666668</v>
      </c>
      <c r="DT60" s="58">
        <f>IF(DQ55-(0.2*DS60)&gt;0,(DQ55-0.2*DS60)^2/(DQ55+0.8*DS60),0)</f>
        <v>0</v>
      </c>
      <c r="DU60" s="54">
        <f>IF(DQ55&gt;0,DT60*DQ60,0)</f>
        <v>0</v>
      </c>
      <c r="DW60" s="51">
        <v>1</v>
      </c>
      <c r="DX60" s="24">
        <f>$D$24</f>
        <v>0</v>
      </c>
      <c r="DY60" s="52">
        <f>DX60/43560</f>
        <v>0</v>
      </c>
      <c r="DZ60" s="24">
        <f>IF($D$25&lt;60,60,$D$25)</f>
        <v>60</v>
      </c>
      <c r="EA60" s="31">
        <f>(1000/DZ60)-10</f>
        <v>6.666666666666668</v>
      </c>
      <c r="EB60" s="58">
        <f>IF(DY55-(0.2*EA60)&gt;0,(DY55-0.2*EA60)^2/(DY55+0.8*EA60),0)</f>
        <v>0</v>
      </c>
      <c r="EC60" s="54">
        <f>IF(DY55&gt;0,EB60*DY60,0)</f>
        <v>0</v>
      </c>
      <c r="EE60" s="51">
        <v>1</v>
      </c>
      <c r="EF60" s="24">
        <f>$D$24</f>
        <v>0</v>
      </c>
      <c r="EG60" s="52">
        <f>EF60/43560</f>
        <v>0</v>
      </c>
      <c r="EH60" s="24">
        <f>IF($D$25&lt;60,60,$D$25)</f>
        <v>60</v>
      </c>
      <c r="EI60" s="31">
        <f>(1000/EH60)-10</f>
        <v>6.666666666666668</v>
      </c>
      <c r="EJ60" s="58">
        <f>IF(EG55-(0.2*EI60)&gt;0,(EG55-0.2*EI60)^2/(EG55+0.8*EI60),0)</f>
        <v>0</v>
      </c>
      <c r="EK60" s="54">
        <f>IF(EG55&gt;0,EJ60*EG60,0)</f>
        <v>0</v>
      </c>
      <c r="EM60" s="51">
        <v>1</v>
      </c>
      <c r="EN60" s="24">
        <f>$D$24</f>
        <v>0</v>
      </c>
      <c r="EO60" s="52">
        <f>EN60/43560</f>
        <v>0</v>
      </c>
      <c r="EP60" s="24">
        <f>IF($D$25&lt;60,60,$D$25)</f>
        <v>60</v>
      </c>
      <c r="EQ60" s="31">
        <f>(1000/EP60)-10</f>
        <v>6.666666666666668</v>
      </c>
      <c r="ER60" s="58">
        <f>IF(EO55-(0.2*EQ60)&gt;0,(EO55-0.2*EQ60)^2/(EO55+0.8*EQ60),0)</f>
        <v>0</v>
      </c>
      <c r="ES60" s="54">
        <f>IF(EO55&gt;0,ER60*EO60,0)</f>
        <v>0</v>
      </c>
      <c r="EU60" s="51">
        <v>1</v>
      </c>
      <c r="EV60" s="24">
        <f>$D$24</f>
        <v>0</v>
      </c>
      <c r="EW60" s="52">
        <f>EV60/43560</f>
        <v>0</v>
      </c>
      <c r="EX60" s="24">
        <f>IF($D$25&lt;60,60,$D$25)</f>
        <v>60</v>
      </c>
      <c r="EY60" s="31">
        <f>(1000/EX60)-10</f>
        <v>6.666666666666668</v>
      </c>
      <c r="EZ60" s="58">
        <f>IF(EW55-(0.2*EY60)&gt;0,(EW55-0.2*EY60)^2/(EW55+0.8*EY60),0)</f>
        <v>0</v>
      </c>
      <c r="FA60" s="54">
        <f>IF(EW55&gt;0,EZ60*EW60,0)</f>
        <v>0</v>
      </c>
      <c r="FC60" s="51">
        <v>1</v>
      </c>
      <c r="FD60" s="24">
        <f>$D$24</f>
        <v>0</v>
      </c>
      <c r="FE60" s="52">
        <f>FD60/43560</f>
        <v>0</v>
      </c>
      <c r="FF60" s="24">
        <f>IF($D$25&lt;60,60,$D$25)</f>
        <v>60</v>
      </c>
      <c r="FG60" s="31">
        <f>(1000/FF60)-10</f>
        <v>6.666666666666668</v>
      </c>
      <c r="FH60" s="58">
        <f>IF(FE55-(0.2*FG60)&gt;0,(FE55-0.2*FG60)^2/(FE55+0.8*FG60),0)</f>
        <v>0</v>
      </c>
      <c r="FI60" s="54">
        <f>IF(FE55&gt;0,FH60*FE60,0)</f>
        <v>0</v>
      </c>
      <c r="FK60" s="51">
        <v>1</v>
      </c>
      <c r="FL60" s="24">
        <f>$D$24</f>
        <v>0</v>
      </c>
      <c r="FM60" s="52">
        <f>FL60/43560</f>
        <v>0</v>
      </c>
      <c r="FN60" s="24">
        <f>IF($D$25&lt;60,60,$D$25)</f>
        <v>60</v>
      </c>
      <c r="FO60" s="31">
        <f>(1000/FN60)-10</f>
        <v>6.666666666666668</v>
      </c>
      <c r="FP60" s="58">
        <f>IF(FM55-(0.2*FO60)&gt;0,(FM55-0.2*FO60)^2/(FM55+0.8*FO60),0)</f>
        <v>0</v>
      </c>
      <c r="FQ60" s="54">
        <f>IF(FM55&gt;0,FP60*FM60,0)</f>
        <v>0</v>
      </c>
      <c r="FS60" s="51">
        <v>1</v>
      </c>
      <c r="FT60" s="24">
        <f>$D$24</f>
        <v>0</v>
      </c>
      <c r="FU60" s="52">
        <f>FT60/43560</f>
        <v>0</v>
      </c>
      <c r="FV60" s="24">
        <f>IF($D$25&lt;60,60,$D$25)</f>
        <v>60</v>
      </c>
      <c r="FW60" s="31">
        <f>(1000/FV60)-10</f>
        <v>6.666666666666668</v>
      </c>
      <c r="FX60" s="58">
        <f>IF(FU55-(0.2*FW60)&gt;0,(FU55-0.2*FW60)^2/(FU55+0.8*FW60),0)</f>
        <v>0</v>
      </c>
      <c r="FY60" s="54">
        <f>IF(FU55&gt;0,FX60*FU60,0)</f>
        <v>0</v>
      </c>
      <c r="GA60" s="51">
        <v>1</v>
      </c>
      <c r="GB60" s="24">
        <f>$D$24</f>
        <v>0</v>
      </c>
      <c r="GC60" s="52">
        <f>GB60/43560</f>
        <v>0</v>
      </c>
      <c r="GD60" s="24">
        <f>IF($D$25&lt;60,60,$D$25)</f>
        <v>60</v>
      </c>
      <c r="GE60" s="31">
        <f>(1000/GD60)-10</f>
        <v>6.666666666666668</v>
      </c>
      <c r="GF60" s="58">
        <f>IF(GC55-(0.2*GE60)&gt;0,(GC55-0.2*GE60)^2/(GC55+0.8*GE60),0)</f>
        <v>0</v>
      </c>
      <c r="GG60" s="54">
        <f>IF(GC55&gt;0,GF60*GC60,0)</f>
        <v>0</v>
      </c>
      <c r="GI60" s="51">
        <v>1</v>
      </c>
      <c r="GJ60" s="24">
        <f>$D$24</f>
        <v>0</v>
      </c>
      <c r="GK60" s="52">
        <f>GJ60/43560</f>
        <v>0</v>
      </c>
      <c r="GL60" s="24">
        <f>IF($D$25&lt;60,60,$D$25)</f>
        <v>60</v>
      </c>
      <c r="GM60" s="31">
        <f>(1000/GL60)-10</f>
        <v>6.666666666666668</v>
      </c>
      <c r="GN60" s="58">
        <f>IF(GK55-(0.2*GM60)&gt;0,(GK55-0.2*GM60)^2/(GK55+0.8*GM60),0)</f>
        <v>0</v>
      </c>
      <c r="GO60" s="54">
        <f>IF(GK55&gt;0,GN60*GK60,0)</f>
        <v>0</v>
      </c>
    </row>
    <row r="61" spans="1:197" ht="14.25">
      <c r="A61" s="92"/>
      <c r="B61" s="92"/>
      <c r="C61" s="182"/>
      <c r="D61" s="192"/>
      <c r="E61" s="161" t="s">
        <v>125</v>
      </c>
      <c r="F61" s="192">
        <v>0.22</v>
      </c>
      <c r="G61" s="123"/>
      <c r="H61" s="92"/>
      <c r="I61" s="92"/>
      <c r="K61" s="97" t="e">
        <f>P56</f>
        <v>#DIV/0!</v>
      </c>
      <c r="L61" s="61" t="e">
        <f>Q14</f>
        <v>#N/A</v>
      </c>
      <c r="M61" s="62" t="e">
        <f>$K$61*$L$61*0.227</f>
        <v>#DIV/0!</v>
      </c>
      <c r="N61" s="23"/>
      <c r="O61" s="23"/>
      <c r="P61" s="23"/>
      <c r="Q61" s="23"/>
      <c r="R61" s="23"/>
      <c r="S61" s="23"/>
      <c r="T61" s="23"/>
      <c r="U61" s="23"/>
      <c r="W61" s="51">
        <v>2</v>
      </c>
      <c r="X61" s="24">
        <f>$F$24</f>
        <v>0</v>
      </c>
      <c r="Y61" s="52">
        <f>X61/43560</f>
        <v>0</v>
      </c>
      <c r="Z61" s="24">
        <f>IF($F$25&lt;60,60,$F$25)</f>
        <v>60</v>
      </c>
      <c r="AA61" s="31">
        <f>(1000/Z61)-10</f>
        <v>6.666666666666668</v>
      </c>
      <c r="AB61" s="58">
        <f>IF(Y55-(0.2*AA61)&gt;0,(Y55-0.2*AA61)^2/(Y55+0.8*AA61),0)</f>
        <v>0</v>
      </c>
      <c r="AC61" s="54">
        <f>IF(Y55&gt;0,AB61*Y61,0)</f>
        <v>0</v>
      </c>
      <c r="AE61" s="51">
        <v>2</v>
      </c>
      <c r="AF61" s="24">
        <f>$F$24</f>
        <v>0</v>
      </c>
      <c r="AG61" s="52">
        <f>AF61/43560</f>
        <v>0</v>
      </c>
      <c r="AH61" s="24">
        <f>IF($F$25&lt;60,60,$F$25)</f>
        <v>60</v>
      </c>
      <c r="AI61" s="31">
        <f>(1000/AH61)-10</f>
        <v>6.666666666666668</v>
      </c>
      <c r="AJ61" s="58">
        <f>IF(AG55-(0.2*AI61)&gt;0,(AG55-0.2*AI61)^2/(AG55+0.8*AI61),0)</f>
        <v>0.22324170484520323</v>
      </c>
      <c r="AK61" s="54">
        <f>IF(AG55&gt;0,AJ61*AG61,0)</f>
        <v>0</v>
      </c>
      <c r="AM61" s="51">
        <v>2</v>
      </c>
      <c r="AN61" s="24">
        <f>$F$24</f>
        <v>0</v>
      </c>
      <c r="AO61" s="52">
        <f>AN61/43560</f>
        <v>0</v>
      </c>
      <c r="AP61" s="24">
        <f>IF($F$25&lt;60,60,$F$25)</f>
        <v>60</v>
      </c>
      <c r="AQ61" s="31">
        <f>(1000/AP61)-10</f>
        <v>6.666666666666668</v>
      </c>
      <c r="AR61" s="58">
        <f>IF(AO55-(0.2*AQ61)&gt;0,(AO55-0.2*AQ61)^2/(AO55+0.8*AQ61),0)</f>
        <v>0.010256410256410232</v>
      </c>
      <c r="AS61" s="54">
        <f>IF(AO55&gt;0,AR61*AO61,0)</f>
        <v>0</v>
      </c>
      <c r="AU61" s="51">
        <v>2</v>
      </c>
      <c r="AV61" s="24">
        <f>$F$24</f>
        <v>0</v>
      </c>
      <c r="AW61" s="52">
        <f>AV61/43560</f>
        <v>0</v>
      </c>
      <c r="AX61" s="24">
        <f>IF($F$25&lt;60,60,$F$25)</f>
        <v>60</v>
      </c>
      <c r="AY61" s="31">
        <f>(1000/AX61)-10</f>
        <v>6.666666666666668</v>
      </c>
      <c r="AZ61" s="58">
        <f>IF(AW55-(0.2*AY61)&gt;0,(AW55-0.2*AY61)^2/(AW55+0.8*AY61),0)</f>
        <v>0</v>
      </c>
      <c r="BA61" s="54">
        <f>IF(AW55&gt;0,AZ61*AW61,0)</f>
        <v>0</v>
      </c>
      <c r="BC61" s="51">
        <v>2</v>
      </c>
      <c r="BD61" s="24">
        <f>$F$24</f>
        <v>0</v>
      </c>
      <c r="BE61" s="52">
        <f>BD61/43560</f>
        <v>0</v>
      </c>
      <c r="BF61" s="24">
        <f>IF($F$25&lt;60,60,$F$25)</f>
        <v>60</v>
      </c>
      <c r="BG61" s="31">
        <f>(1000/BF61)-10</f>
        <v>6.666666666666668</v>
      </c>
      <c r="BH61" s="58">
        <f>IF(BE55-(0.2*BG61)&gt;0,(BE55-0.2*BG61)^2/(BE55+0.8*BG61),0)</f>
        <v>0</v>
      </c>
      <c r="BI61" s="54">
        <f>IF(BE55&gt;0,BH61*BE61,0)</f>
        <v>0</v>
      </c>
      <c r="BK61" s="51">
        <v>2</v>
      </c>
      <c r="BL61" s="24">
        <f>$F$24</f>
        <v>0</v>
      </c>
      <c r="BM61" s="52">
        <f>BL61/43560</f>
        <v>0</v>
      </c>
      <c r="BN61" s="24">
        <f>IF($F$25&lt;60,60,$F$25)</f>
        <v>60</v>
      </c>
      <c r="BO61" s="31">
        <f>(1000/BN61)-10</f>
        <v>6.666666666666668</v>
      </c>
      <c r="BP61" s="58">
        <f>IF(BM55-(0.2*BO61)&gt;0,(BM55-0.2*BO61)^2/(BM55+0.8*BO61),0)</f>
        <v>0</v>
      </c>
      <c r="BQ61" s="54">
        <f>IF(BM55&gt;0,BP61*BM61,0)</f>
        <v>0</v>
      </c>
      <c r="BS61" s="51">
        <v>2</v>
      </c>
      <c r="BT61" s="24">
        <f>$F$24</f>
        <v>0</v>
      </c>
      <c r="BU61" s="52">
        <f>BT61/43560</f>
        <v>0</v>
      </c>
      <c r="BV61" s="24">
        <f>IF($F$25&lt;60,60,$F$25)</f>
        <v>60</v>
      </c>
      <c r="BW61" s="31">
        <f>(1000/BV61)-10</f>
        <v>6.666666666666668</v>
      </c>
      <c r="BX61" s="58">
        <f>IF(BU55-(0.2*BW61)&gt;0,(BU55-0.2*BW61)^2/(BU55+0.8*BW61),0)</f>
        <v>0</v>
      </c>
      <c r="BY61" s="54">
        <f>IF(BU55&gt;0,BX61*BU61,0)</f>
        <v>0</v>
      </c>
      <c r="CA61" s="51">
        <v>2</v>
      </c>
      <c r="CB61" s="24">
        <f>$F$24</f>
        <v>0</v>
      </c>
      <c r="CC61" s="52">
        <f>CB61/43560</f>
        <v>0</v>
      </c>
      <c r="CD61" s="24">
        <f>IF($F$25&lt;60,60,$F$25)</f>
        <v>60</v>
      </c>
      <c r="CE61" s="31">
        <f>(1000/CD61)-10</f>
        <v>6.666666666666668</v>
      </c>
      <c r="CF61" s="58">
        <f>IF(CC55-(0.2*CE61)&gt;0,(CC55-0.2*CE61)^2/(CC55+0.8*CE61),0)</f>
        <v>0</v>
      </c>
      <c r="CG61" s="54">
        <f>IF(CC55&gt;0,CF61*CC61,0)</f>
        <v>0</v>
      </c>
      <c r="CI61" s="51">
        <v>2</v>
      </c>
      <c r="CJ61" s="24">
        <f>$F$24</f>
        <v>0</v>
      </c>
      <c r="CK61" s="52">
        <f>CJ61/43560</f>
        <v>0</v>
      </c>
      <c r="CL61" s="24">
        <f>IF($F$25&lt;60,60,$F$25)</f>
        <v>60</v>
      </c>
      <c r="CM61" s="31">
        <f>(1000/CL61)-10</f>
        <v>6.666666666666668</v>
      </c>
      <c r="CN61" s="58">
        <f>IF(CK55-(0.2*CM61)&gt;0,(CK55-0.2*CM61)^2/(CK55+0.8*CM61),0)</f>
        <v>0</v>
      </c>
      <c r="CO61" s="54">
        <f>IF(CK55&gt;0,CN61*CK61,0)</f>
        <v>0</v>
      </c>
      <c r="CQ61" s="51">
        <v>2</v>
      </c>
      <c r="CR61" s="24">
        <f>$F$24</f>
        <v>0</v>
      </c>
      <c r="CS61" s="52">
        <f>CR61/43560</f>
        <v>0</v>
      </c>
      <c r="CT61" s="24">
        <f>IF($F$25&lt;60,60,$F$25)</f>
        <v>60</v>
      </c>
      <c r="CU61" s="31">
        <f>(1000/CT61)-10</f>
        <v>6.666666666666668</v>
      </c>
      <c r="CV61" s="58">
        <f>IF(CS55-(0.2*CU61)&gt;0,(CS55-0.2*CU61)^2/(CS55+0.8*CU61),0)</f>
        <v>0</v>
      </c>
      <c r="CW61" s="54">
        <f>IF(CS55&gt;0,CV61*CS61,0)</f>
        <v>0</v>
      </c>
      <c r="CY61" s="51">
        <v>2</v>
      </c>
      <c r="CZ61" s="24">
        <f>$F$24</f>
        <v>0</v>
      </c>
      <c r="DA61" s="52">
        <f>CZ61/43560</f>
        <v>0</v>
      </c>
      <c r="DB61" s="24">
        <f>IF($F$25&lt;60,60,$F$25)</f>
        <v>60</v>
      </c>
      <c r="DC61" s="31">
        <f>(1000/DB61)-10</f>
        <v>6.666666666666668</v>
      </c>
      <c r="DD61" s="58">
        <f>IF(DA55-(0.2*DC61)&gt;0,(DA55-0.2*DC61)^2/(DA55+0.8*DC61),0)</f>
        <v>0</v>
      </c>
      <c r="DE61" s="54">
        <f>IF(DA55&gt;0,DD61*DA61,0)</f>
        <v>0</v>
      </c>
      <c r="DG61" s="51">
        <v>2</v>
      </c>
      <c r="DH61" s="24">
        <f>$F$24</f>
        <v>0</v>
      </c>
      <c r="DI61" s="52">
        <f>DH61/43560</f>
        <v>0</v>
      </c>
      <c r="DJ61" s="24">
        <f>IF($F$25&lt;60,60,$F$25)</f>
        <v>60</v>
      </c>
      <c r="DK61" s="31">
        <f>(1000/DJ61)-10</f>
        <v>6.666666666666668</v>
      </c>
      <c r="DL61" s="58">
        <f>IF(DI55-(0.2*DK61)&gt;0,(DI55-0.2*DK61)^2/(DI55+0.8*DK61),0)</f>
        <v>0</v>
      </c>
      <c r="DM61" s="54">
        <f>IF(DI55&gt;0,DL61*DI61,0)</f>
        <v>0</v>
      </c>
      <c r="DO61" s="51">
        <v>2</v>
      </c>
      <c r="DP61" s="24">
        <f>$F$24</f>
        <v>0</v>
      </c>
      <c r="DQ61" s="52">
        <f>DP61/43560</f>
        <v>0</v>
      </c>
      <c r="DR61" s="24">
        <f>IF($F$25&lt;60,60,$F$25)</f>
        <v>60</v>
      </c>
      <c r="DS61" s="31">
        <f>(1000/DR61)-10</f>
        <v>6.666666666666668</v>
      </c>
      <c r="DT61" s="58">
        <f>IF(DQ55-(0.2*DS61)&gt;0,(DQ55-0.2*DS61)^2/(DQ55+0.8*DS61),0)</f>
        <v>0</v>
      </c>
      <c r="DU61" s="54">
        <f>IF(DQ55&gt;0,DT61*DQ61,0)</f>
        <v>0</v>
      </c>
      <c r="DW61" s="51">
        <v>2</v>
      </c>
      <c r="DX61" s="24">
        <f>$F$24</f>
        <v>0</v>
      </c>
      <c r="DY61" s="52">
        <f>DX61/43560</f>
        <v>0</v>
      </c>
      <c r="DZ61" s="24">
        <f>IF($F$25&lt;60,60,$F$25)</f>
        <v>60</v>
      </c>
      <c r="EA61" s="31">
        <f>(1000/DZ61)-10</f>
        <v>6.666666666666668</v>
      </c>
      <c r="EB61" s="58">
        <f>IF(DY55-(0.2*EA61)&gt;0,(DY55-0.2*EA61)^2/(DY55+0.8*EA61),0)</f>
        <v>0</v>
      </c>
      <c r="EC61" s="54">
        <f>IF(DY55&gt;0,EB61*DY61,0)</f>
        <v>0</v>
      </c>
      <c r="EE61" s="51">
        <v>2</v>
      </c>
      <c r="EF61" s="24">
        <f>$F$24</f>
        <v>0</v>
      </c>
      <c r="EG61" s="52">
        <f>EF61/43560</f>
        <v>0</v>
      </c>
      <c r="EH61" s="24">
        <f>IF($F$25&lt;60,60,$F$25)</f>
        <v>60</v>
      </c>
      <c r="EI61" s="31">
        <f>(1000/EH61)-10</f>
        <v>6.666666666666668</v>
      </c>
      <c r="EJ61" s="58">
        <f>IF(EG55-(0.2*EI61)&gt;0,(EG55-0.2*EI61)^2/(EG55+0.8*EI61),0)</f>
        <v>0</v>
      </c>
      <c r="EK61" s="54">
        <f>IF(EG55&gt;0,EJ61*EG61,0)</f>
        <v>0</v>
      </c>
      <c r="EM61" s="51">
        <v>2</v>
      </c>
      <c r="EN61" s="24">
        <f>$F$24</f>
        <v>0</v>
      </c>
      <c r="EO61" s="52">
        <f>EN61/43560</f>
        <v>0</v>
      </c>
      <c r="EP61" s="24">
        <f>IF($F$25&lt;60,60,$F$25)</f>
        <v>60</v>
      </c>
      <c r="EQ61" s="31">
        <f>(1000/EP61)-10</f>
        <v>6.666666666666668</v>
      </c>
      <c r="ER61" s="58">
        <f>IF(EO55-(0.2*EQ61)&gt;0,(EO55-0.2*EQ61)^2/(EO55+0.8*EQ61),0)</f>
        <v>0</v>
      </c>
      <c r="ES61" s="54">
        <f>IF(EO55&gt;0,ER61*EO61,0)</f>
        <v>0</v>
      </c>
      <c r="EU61" s="51">
        <v>2</v>
      </c>
      <c r="EV61" s="24">
        <f>$F$24</f>
        <v>0</v>
      </c>
      <c r="EW61" s="52">
        <f>EV61/43560</f>
        <v>0</v>
      </c>
      <c r="EX61" s="24">
        <f>IF($F$25&lt;60,60,$F$25)</f>
        <v>60</v>
      </c>
      <c r="EY61" s="31">
        <f>(1000/EX61)-10</f>
        <v>6.666666666666668</v>
      </c>
      <c r="EZ61" s="58">
        <f>IF(EW55-(0.2*EY61)&gt;0,(EW55-0.2*EY61)^2/(EW55+0.8*EY61),0)</f>
        <v>0</v>
      </c>
      <c r="FA61" s="54">
        <f>IF(EW55&gt;0,EZ61*EW61,0)</f>
        <v>0</v>
      </c>
      <c r="FC61" s="51">
        <v>2</v>
      </c>
      <c r="FD61" s="24">
        <f>$F$24</f>
        <v>0</v>
      </c>
      <c r="FE61" s="52">
        <f>FD61/43560</f>
        <v>0</v>
      </c>
      <c r="FF61" s="24">
        <f>IF($F$25&lt;60,60,$F$25)</f>
        <v>60</v>
      </c>
      <c r="FG61" s="31">
        <f>(1000/FF61)-10</f>
        <v>6.666666666666668</v>
      </c>
      <c r="FH61" s="58">
        <f>IF(FE55-(0.2*FG61)&gt;0,(FE55-0.2*FG61)^2/(FE55+0.8*FG61),0)</f>
        <v>0</v>
      </c>
      <c r="FI61" s="54">
        <f>IF(FE55&gt;0,FH61*FE61,0)</f>
        <v>0</v>
      </c>
      <c r="FK61" s="51">
        <v>2</v>
      </c>
      <c r="FL61" s="24">
        <f>$F$24</f>
        <v>0</v>
      </c>
      <c r="FM61" s="52">
        <f>FL61/43560</f>
        <v>0</v>
      </c>
      <c r="FN61" s="24">
        <f>IF($F$25&lt;60,60,$F$25)</f>
        <v>60</v>
      </c>
      <c r="FO61" s="31">
        <f>(1000/FN61)-10</f>
        <v>6.666666666666668</v>
      </c>
      <c r="FP61" s="58">
        <f>IF(FM55-(0.2*FO61)&gt;0,(FM55-0.2*FO61)^2/(FM55+0.8*FO61),0)</f>
        <v>0</v>
      </c>
      <c r="FQ61" s="54">
        <f>IF(FM55&gt;0,FP61*FM61,0)</f>
        <v>0</v>
      </c>
      <c r="FS61" s="51">
        <v>2</v>
      </c>
      <c r="FT61" s="24">
        <f>$F$24</f>
        <v>0</v>
      </c>
      <c r="FU61" s="52">
        <f>FT61/43560</f>
        <v>0</v>
      </c>
      <c r="FV61" s="24">
        <f>IF($F$25&lt;60,60,$F$25)</f>
        <v>60</v>
      </c>
      <c r="FW61" s="31">
        <f>(1000/FV61)-10</f>
        <v>6.666666666666668</v>
      </c>
      <c r="FX61" s="58">
        <f>IF(FU55-(0.2*FW61)&gt;0,(FU55-0.2*FW61)^2/(FU55+0.8*FW61),0)</f>
        <v>0</v>
      </c>
      <c r="FY61" s="54">
        <f>IF(FU55&gt;0,FX61*FU61,0)</f>
        <v>0</v>
      </c>
      <c r="GA61" s="51">
        <v>2</v>
      </c>
      <c r="GB61" s="24">
        <f>$F$24</f>
        <v>0</v>
      </c>
      <c r="GC61" s="52">
        <f>GB61/43560</f>
        <v>0</v>
      </c>
      <c r="GD61" s="24">
        <f>IF($F$25&lt;60,60,$F$25)</f>
        <v>60</v>
      </c>
      <c r="GE61" s="31">
        <f>(1000/GD61)-10</f>
        <v>6.666666666666668</v>
      </c>
      <c r="GF61" s="58">
        <f>IF(GC55-(0.2*GE61)&gt;0,(GC55-0.2*GE61)^2/(GC55+0.8*GE61),0)</f>
        <v>0</v>
      </c>
      <c r="GG61" s="54">
        <f>IF(GC55&gt;0,GF61*GC61,0)</f>
        <v>0</v>
      </c>
      <c r="GI61" s="51">
        <v>2</v>
      </c>
      <c r="GJ61" s="24">
        <f>$F$24</f>
        <v>0</v>
      </c>
      <c r="GK61" s="52">
        <f>GJ61/43560</f>
        <v>0</v>
      </c>
      <c r="GL61" s="24">
        <f>IF($F$25&lt;60,60,$F$25)</f>
        <v>60</v>
      </c>
      <c r="GM61" s="31">
        <f>(1000/GL61)-10</f>
        <v>6.666666666666668</v>
      </c>
      <c r="GN61" s="58">
        <f>IF(GK55-(0.2*GM61)&gt;0,(GK55-0.2*GM61)^2/(GK55+0.8*GM61),0)</f>
        <v>0</v>
      </c>
      <c r="GO61" s="54">
        <f>IF(GK55&gt;0,GN61*GK61,0)</f>
        <v>0</v>
      </c>
    </row>
    <row r="62" spans="1:197" ht="14.25">
      <c r="A62" s="92"/>
      <c r="B62" s="92"/>
      <c r="C62" s="123"/>
      <c r="D62" s="192"/>
      <c r="E62" s="161" t="s">
        <v>128</v>
      </c>
      <c r="F62" s="192">
        <v>0.15</v>
      </c>
      <c r="G62" s="123"/>
      <c r="H62" s="92"/>
      <c r="I62" s="92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W62" s="63" t="s">
        <v>58</v>
      </c>
      <c r="X62" s="64">
        <f>$D$27</f>
        <v>0</v>
      </c>
      <c r="Y62" s="65">
        <f>X62/43560</f>
        <v>0</v>
      </c>
      <c r="Z62" s="64">
        <v>98</v>
      </c>
      <c r="AA62" s="66">
        <f>(1000/Z62)-10</f>
        <v>0.204081632653061</v>
      </c>
      <c r="AB62" s="66">
        <f>(Y55-0.2*AA62)^2/(Y55+0.8*AA62)</f>
        <v>0.06975464343040594</v>
      </c>
      <c r="AC62" s="67">
        <f>IF(Y55&gt;0,AB62*Y62,0)</f>
        <v>0</v>
      </c>
      <c r="AE62" s="63" t="s">
        <v>58</v>
      </c>
      <c r="AF62" s="64">
        <f>$D$27</f>
        <v>0</v>
      </c>
      <c r="AG62" s="65">
        <f>AF62/43560</f>
        <v>0</v>
      </c>
      <c r="AH62" s="64">
        <v>98</v>
      </c>
      <c r="AI62" s="66">
        <f>(1000/AH62)-10</f>
        <v>0.204081632653061</v>
      </c>
      <c r="AJ62" s="66">
        <f>(AG55-0.2*AI62)^2/(AG55+0.8*AI62)</f>
        <v>2.4398021512141557</v>
      </c>
      <c r="AK62" s="67">
        <f>IF(AG55&gt;0,AJ62*AG62,0)</f>
        <v>0</v>
      </c>
      <c r="AM62" s="63" t="s">
        <v>58</v>
      </c>
      <c r="AN62" s="64">
        <f>$D$27</f>
        <v>0</v>
      </c>
      <c r="AO62" s="65">
        <f>AN62/43560</f>
        <v>0</v>
      </c>
      <c r="AP62" s="64">
        <v>98</v>
      </c>
      <c r="AQ62" s="66">
        <f>(1000/AP62)-10</f>
        <v>0.204081632653061</v>
      </c>
      <c r="AR62" s="66">
        <f>(AO55-0.2*AQ62)^2/(AO55+0.8*AQ62)</f>
        <v>1.3787226001511719</v>
      </c>
      <c r="AS62" s="67">
        <f>IF(AO55&gt;0,AR62*AO62,0)</f>
        <v>0</v>
      </c>
      <c r="AU62" s="63" t="s">
        <v>58</v>
      </c>
      <c r="AV62" s="64">
        <f>$D$27</f>
        <v>0</v>
      </c>
      <c r="AW62" s="65">
        <f>AV62/43560</f>
        <v>0</v>
      </c>
      <c r="AX62" s="64">
        <v>98</v>
      </c>
      <c r="AY62" s="66">
        <f>(1000/AX62)-10</f>
        <v>0.204081632653061</v>
      </c>
      <c r="AZ62" s="66">
        <f>(AW55-0.2*AY62)^2/(AW55+0.8*AY62)</f>
        <v>0.19469706135184195</v>
      </c>
      <c r="BA62" s="67">
        <f>IF(AW55&gt;0,AZ62*AW62,0)</f>
        <v>0</v>
      </c>
      <c r="BC62" s="63" t="s">
        <v>58</v>
      </c>
      <c r="BD62" s="64">
        <f>$D$27</f>
        <v>0</v>
      </c>
      <c r="BE62" s="65">
        <f>BD62/43560</f>
        <v>0</v>
      </c>
      <c r="BF62" s="64">
        <v>98</v>
      </c>
      <c r="BG62" s="66">
        <f>(1000/BF62)-10</f>
        <v>0.204081632653061</v>
      </c>
      <c r="BH62" s="66">
        <f>(BE55-0.2*BG62)^2/(BE55+0.8*BG62)</f>
        <v>0.12123093043152268</v>
      </c>
      <c r="BI62" s="67">
        <f>IF(BE55&gt;0,BH62*BE62,0)</f>
        <v>0</v>
      </c>
      <c r="BK62" s="63" t="s">
        <v>58</v>
      </c>
      <c r="BL62" s="64">
        <f>$D$27</f>
        <v>0</v>
      </c>
      <c r="BM62" s="65">
        <f>BL62/43560</f>
        <v>0</v>
      </c>
      <c r="BN62" s="64">
        <v>98</v>
      </c>
      <c r="BO62" s="66">
        <f>(1000/BN62)-10</f>
        <v>0.204081632653061</v>
      </c>
      <c r="BP62" s="66">
        <f>(BM55-0.2*BO62)^2/(BM55+0.8*BO62)</f>
        <v>0.013304856826451538</v>
      </c>
      <c r="BQ62" s="67">
        <f>IF(BM55&gt;0,BP62*BM62,0)</f>
        <v>0</v>
      </c>
      <c r="BS62" s="63" t="s">
        <v>58</v>
      </c>
      <c r="BT62" s="64">
        <f>$D$27</f>
        <v>0</v>
      </c>
      <c r="BU62" s="65">
        <f>BT62/43560</f>
        <v>0</v>
      </c>
      <c r="BV62" s="64">
        <v>98</v>
      </c>
      <c r="BW62" s="66">
        <f>(1000/BV62)-10</f>
        <v>0.204081632653061</v>
      </c>
      <c r="BX62" s="66">
        <f>(BU55-0.2*BW62)^2/(BU55+0.8*BW62)</f>
        <v>0.032438267366165896</v>
      </c>
      <c r="BY62" s="67">
        <f>IF(BU55&gt;0,BX62*BU62,0)</f>
        <v>0</v>
      </c>
      <c r="CA62" s="63" t="s">
        <v>58</v>
      </c>
      <c r="CB62" s="64">
        <f>$D$27</f>
        <v>0</v>
      </c>
      <c r="CC62" s="65">
        <f>CB62/43560</f>
        <v>0</v>
      </c>
      <c r="CD62" s="64">
        <v>98</v>
      </c>
      <c r="CE62" s="66">
        <f>(1000/CD62)-10</f>
        <v>0.204081632653061</v>
      </c>
      <c r="CF62" s="66">
        <f>(CC55-0.2*CE62)^2/(CC55+0.8*CE62)</f>
        <v>0.2203811380693924</v>
      </c>
      <c r="CG62" s="67">
        <f>IF(CC55&gt;0,CF62*CC62,0)</f>
        <v>0</v>
      </c>
      <c r="CI62" s="63" t="s">
        <v>58</v>
      </c>
      <c r="CJ62" s="64">
        <f>$D$27</f>
        <v>0</v>
      </c>
      <c r="CK62" s="65">
        <f>CJ62/43560</f>
        <v>0</v>
      </c>
      <c r="CL62" s="64">
        <v>98</v>
      </c>
      <c r="CM62" s="66">
        <f>(1000/CL62)-10</f>
        <v>0.204081632653061</v>
      </c>
      <c r="CN62" s="66">
        <f>(CK55-0.2*CM62)^2/(CK55+0.8*CM62)</f>
        <v>0.06975464343040594</v>
      </c>
      <c r="CO62" s="67">
        <f>IF(CK55&gt;0,CN62*CK62,0)</f>
        <v>0</v>
      </c>
      <c r="CQ62" s="63" t="s">
        <v>58</v>
      </c>
      <c r="CR62" s="64">
        <f>$D$27</f>
        <v>0</v>
      </c>
      <c r="CS62" s="65">
        <f>CR62/43560</f>
        <v>0</v>
      </c>
      <c r="CT62" s="64">
        <v>98</v>
      </c>
      <c r="CU62" s="66">
        <f>(1000/CT62)-10</f>
        <v>0.204081632653061</v>
      </c>
      <c r="CV62" s="66">
        <f>(CS55-0.2*CU62)^2/(CS55+0.8*CU62)</f>
        <v>0.20320446433452843</v>
      </c>
      <c r="CW62" s="67">
        <f>IF(CS55&gt;0,CV62*CS62,0)</f>
        <v>0</v>
      </c>
      <c r="CY62" s="63" t="s">
        <v>58</v>
      </c>
      <c r="CZ62" s="64">
        <f>$D$27</f>
        <v>0</v>
      </c>
      <c r="DA62" s="65">
        <f>CZ62/43560</f>
        <v>0</v>
      </c>
      <c r="DB62" s="64">
        <v>98</v>
      </c>
      <c r="DC62" s="66">
        <f>(1000/DB62)-10</f>
        <v>0.204081632653061</v>
      </c>
      <c r="DD62" s="66">
        <f>(DA55-0.2*DC62)^2/(DA55+0.8*DC62)</f>
        <v>0.06300015326754625</v>
      </c>
      <c r="DE62" s="67">
        <f>IF(DA55&gt;0,DD62*DA62,0)</f>
        <v>0</v>
      </c>
      <c r="DG62" s="63" t="s">
        <v>58</v>
      </c>
      <c r="DH62" s="64">
        <f>$D$27</f>
        <v>0</v>
      </c>
      <c r="DI62" s="65">
        <f>DH62/43560</f>
        <v>0</v>
      </c>
      <c r="DJ62" s="64">
        <v>98</v>
      </c>
      <c r="DK62" s="66">
        <f>(1000/DJ62)-10</f>
        <v>0.204081632653061</v>
      </c>
      <c r="DL62" s="66">
        <f>(DI55-0.2*DK62)^2/(DI55+0.8*DK62)</f>
        <v>0.32696370576117706</v>
      </c>
      <c r="DM62" s="67">
        <f>IF(DI55&gt;0,DL62*DI62,0)</f>
        <v>0</v>
      </c>
      <c r="DO62" s="63" t="s">
        <v>58</v>
      </c>
      <c r="DP62" s="64">
        <f>$D$27</f>
        <v>0</v>
      </c>
      <c r="DQ62" s="65">
        <f>DP62/43560</f>
        <v>0</v>
      </c>
      <c r="DR62" s="64">
        <v>98</v>
      </c>
      <c r="DS62" s="66">
        <f>(1000/DR62)-10</f>
        <v>0.204081632653061</v>
      </c>
      <c r="DT62" s="66">
        <f>(DQ55-0.2*DS62)^2/(DQ55+0.8*DS62)</f>
        <v>0.027121270219987826</v>
      </c>
      <c r="DU62" s="67">
        <f>IF(DQ55&gt;0,DT62*DQ62,0)</f>
        <v>0</v>
      </c>
      <c r="DW62" s="63" t="s">
        <v>58</v>
      </c>
      <c r="DX62" s="64">
        <f>$D$27</f>
        <v>0</v>
      </c>
      <c r="DY62" s="65">
        <f>DX62/43560</f>
        <v>0</v>
      </c>
      <c r="DZ62" s="64">
        <v>98</v>
      </c>
      <c r="EA62" s="66">
        <f>(1000/DZ62)-10</f>
        <v>0.204081632653061</v>
      </c>
      <c r="EB62" s="66">
        <f>(DY55-0.2*EA62)^2/(DY55+0.8*EA62)</f>
        <v>0.027121270219987826</v>
      </c>
      <c r="EC62" s="67">
        <f>IF(DY55&gt;0,EB62*DY62,0)</f>
        <v>0</v>
      </c>
      <c r="EE62" s="63" t="s">
        <v>58</v>
      </c>
      <c r="EF62" s="64">
        <f>$D$27</f>
        <v>0</v>
      </c>
      <c r="EG62" s="65">
        <f>EF62/43560</f>
        <v>0</v>
      </c>
      <c r="EH62" s="64">
        <v>98</v>
      </c>
      <c r="EI62" s="66">
        <f>(1000/EH62)-10</f>
        <v>0.204081632653061</v>
      </c>
      <c r="EJ62" s="66">
        <f>(EG55-0.2*EI62)^2/(EG55+0.8*EI62)</f>
        <v>0.14500584374719055</v>
      </c>
      <c r="EK62" s="67">
        <f>IF(EG55&gt;0,EJ62*EG62,0)</f>
        <v>0</v>
      </c>
      <c r="EM62" s="63" t="s">
        <v>58</v>
      </c>
      <c r="EN62" s="64">
        <f>$D$27</f>
        <v>0</v>
      </c>
      <c r="EO62" s="65">
        <f>EN62/43560</f>
        <v>0</v>
      </c>
      <c r="EP62" s="64">
        <v>98</v>
      </c>
      <c r="EQ62" s="66">
        <f>(1000/EP62)-10</f>
        <v>0.204081632653061</v>
      </c>
      <c r="ER62" s="66">
        <f>(EO55-0.2*EQ62)^2/(EO55+0.8*EQ62)</f>
        <v>0.2908711779910161</v>
      </c>
      <c r="ES62" s="67">
        <f>IF(EO55&gt;0,ER62*EO62,0)</f>
        <v>0</v>
      </c>
      <c r="EU62" s="63" t="s">
        <v>58</v>
      </c>
      <c r="EV62" s="64">
        <f>$D$27</f>
        <v>0</v>
      </c>
      <c r="EW62" s="65">
        <f>EV62/43560</f>
        <v>0</v>
      </c>
      <c r="EX62" s="64">
        <v>98</v>
      </c>
      <c r="EY62" s="66">
        <f>(1000/EX62)-10</f>
        <v>0.204081632653061</v>
      </c>
      <c r="EZ62" s="66">
        <f>(EW55-0.2*EY62)^2/(EW55+0.8*EY62)</f>
        <v>0.09838221928447499</v>
      </c>
      <c r="FA62" s="67">
        <f>IF(EW55&gt;0,EZ62*EW62,0)</f>
        <v>0</v>
      </c>
      <c r="FC62" s="63" t="s">
        <v>58</v>
      </c>
      <c r="FD62" s="64">
        <f>$D$27</f>
        <v>0</v>
      </c>
      <c r="FE62" s="65">
        <f>FD62/43560</f>
        <v>0</v>
      </c>
      <c r="FF62" s="64">
        <v>98</v>
      </c>
      <c r="FG62" s="66">
        <f>(1000/FF62)-10</f>
        <v>0.204081632653061</v>
      </c>
      <c r="FH62" s="66">
        <f>(FE55-0.2*FG62)^2/(FE55+0.8*FG62)</f>
        <v>0.06975464343040594</v>
      </c>
      <c r="FI62" s="67">
        <f>IF(FE55&gt;0,FH62*FE62,0)</f>
        <v>0</v>
      </c>
      <c r="FK62" s="63" t="s">
        <v>58</v>
      </c>
      <c r="FL62" s="64">
        <f>$D$27</f>
        <v>0</v>
      </c>
      <c r="FM62" s="65">
        <f>FL62/43560</f>
        <v>0</v>
      </c>
      <c r="FN62" s="64">
        <v>98</v>
      </c>
      <c r="FO62" s="66">
        <f>(1000/FN62)-10</f>
        <v>0.204081632653061</v>
      </c>
      <c r="FP62" s="66">
        <f>(FM55-0.2*FO62)^2/(FM55+0.8*FO62)</f>
        <v>0.12123093043152268</v>
      </c>
      <c r="FQ62" s="67">
        <f>IF(FM55&gt;0,FP62*FM62,0)</f>
        <v>0</v>
      </c>
      <c r="FS62" s="63" t="s">
        <v>58</v>
      </c>
      <c r="FT62" s="64">
        <f>$D$27</f>
        <v>0</v>
      </c>
      <c r="FU62" s="65">
        <f>FT62/43560</f>
        <v>0</v>
      </c>
      <c r="FV62" s="64">
        <v>98</v>
      </c>
      <c r="FW62" s="66">
        <f>(1000/FV62)-10</f>
        <v>0.204081632653061</v>
      </c>
      <c r="FX62" s="66">
        <f>(FU55-0.2*FW62)^2/(FU55+0.8*FW62)</f>
        <v>0.01751550807029312</v>
      </c>
      <c r="FY62" s="67">
        <f>IF(FU55&gt;0,FX62*FU62,0)</f>
        <v>0</v>
      </c>
      <c r="GA62" s="63" t="s">
        <v>58</v>
      </c>
      <c r="GB62" s="64">
        <f>$D$27</f>
        <v>0</v>
      </c>
      <c r="GC62" s="65">
        <f>GB62/43560</f>
        <v>0</v>
      </c>
      <c r="GD62" s="64">
        <v>98</v>
      </c>
      <c r="GE62" s="66">
        <f>(1000/GD62)-10</f>
        <v>0.204081632653061</v>
      </c>
      <c r="GF62" s="66">
        <f>(GC55-0.2*GE62)^2/(GC55+0.8*GE62)</f>
        <v>0.032438267366165896</v>
      </c>
      <c r="GG62" s="67">
        <f>IF(GC55&gt;0,GF62*GC62,0)</f>
        <v>0</v>
      </c>
      <c r="GI62" s="63" t="s">
        <v>58</v>
      </c>
      <c r="GJ62" s="64">
        <f>$D$27</f>
        <v>0</v>
      </c>
      <c r="GK62" s="65">
        <f>GJ62/43560</f>
        <v>0</v>
      </c>
      <c r="GL62" s="64">
        <v>98</v>
      </c>
      <c r="GM62" s="66">
        <f>(1000/GL62)-10</f>
        <v>0.204081632653061</v>
      </c>
      <c r="GN62" s="66">
        <f>(GK55-0.2*GM62)^2/(GK55+0.8*GM62)</f>
        <v>0.713549974624364</v>
      </c>
      <c r="GO62" s="67">
        <f>IF(GK55&gt;0,GN62*GK62,0)</f>
        <v>0</v>
      </c>
    </row>
    <row r="63" spans="1:197" ht="18">
      <c r="A63" s="92"/>
      <c r="B63" s="92"/>
      <c r="C63" s="183"/>
      <c r="D63" s="192"/>
      <c r="E63" s="161" t="s">
        <v>130</v>
      </c>
      <c r="F63" s="192">
        <v>0.29</v>
      </c>
      <c r="G63" s="123"/>
      <c r="H63" s="92"/>
      <c r="I63" s="92"/>
      <c r="K63" s="45"/>
      <c r="L63" s="45"/>
      <c r="M63" s="45"/>
      <c r="N63" s="45"/>
      <c r="O63" s="45"/>
      <c r="AB63" s="17" t="s">
        <v>59</v>
      </c>
      <c r="AC63" s="69" t="e">
        <f>SUM(AC57:AC62)</f>
        <v>#N/A</v>
      </c>
      <c r="AJ63" s="17" t="s">
        <v>59</v>
      </c>
      <c r="AK63" s="69" t="e">
        <f>SUM(AK57:AK62)</f>
        <v>#N/A</v>
      </c>
      <c r="AR63" s="17" t="s">
        <v>59</v>
      </c>
      <c r="AS63" s="69" t="e">
        <f>SUM(AS57:AS62)</f>
        <v>#N/A</v>
      </c>
      <c r="AZ63" s="17" t="s">
        <v>59</v>
      </c>
      <c r="BA63" s="69" t="e">
        <f>SUM(BA57:BA62)</f>
        <v>#N/A</v>
      </c>
      <c r="BH63" s="17" t="s">
        <v>59</v>
      </c>
      <c r="BI63" s="69" t="e">
        <f>SUM(BI57:BI62)</f>
        <v>#N/A</v>
      </c>
      <c r="BP63" s="17" t="s">
        <v>59</v>
      </c>
      <c r="BQ63" s="69" t="e">
        <f>SUM(BQ57:BQ62)</f>
        <v>#N/A</v>
      </c>
      <c r="BX63" s="17" t="s">
        <v>59</v>
      </c>
      <c r="BY63" s="69" t="e">
        <f>SUM(BY57:BY62)</f>
        <v>#N/A</v>
      </c>
      <c r="CF63" s="17" t="s">
        <v>59</v>
      </c>
      <c r="CG63" s="69" t="e">
        <f>SUM(CG57:CG62)</f>
        <v>#N/A</v>
      </c>
      <c r="CN63" s="17" t="s">
        <v>59</v>
      </c>
      <c r="CO63" s="69" t="e">
        <f>SUM(CO57:CO62)</f>
        <v>#N/A</v>
      </c>
      <c r="CV63" s="17" t="s">
        <v>59</v>
      </c>
      <c r="CW63" s="69" t="e">
        <f>SUM(CW57:CW62)</f>
        <v>#N/A</v>
      </c>
      <c r="DD63" s="17" t="s">
        <v>59</v>
      </c>
      <c r="DE63" s="69" t="e">
        <f>SUM(DE57:DE62)</f>
        <v>#N/A</v>
      </c>
      <c r="DL63" s="17" t="s">
        <v>59</v>
      </c>
      <c r="DM63" s="69" t="e">
        <f>SUM(DM57:DM62)</f>
        <v>#N/A</v>
      </c>
      <c r="DT63" s="17" t="s">
        <v>59</v>
      </c>
      <c r="DU63" s="69" t="e">
        <f>SUM(DU57:DU62)</f>
        <v>#N/A</v>
      </c>
      <c r="EB63" s="17" t="s">
        <v>59</v>
      </c>
      <c r="EC63" s="69" t="e">
        <f>SUM(EC57:EC62)</f>
        <v>#N/A</v>
      </c>
      <c r="EJ63" s="17" t="s">
        <v>59</v>
      </c>
      <c r="EK63" s="69" t="e">
        <f>SUM(EK57:EK62)</f>
        <v>#N/A</v>
      </c>
      <c r="ER63" s="17" t="s">
        <v>59</v>
      </c>
      <c r="ES63" s="69" t="e">
        <f>SUM(ES57:ES62)</f>
        <v>#N/A</v>
      </c>
      <c r="EZ63" s="17" t="s">
        <v>59</v>
      </c>
      <c r="FA63" s="69" t="e">
        <f>SUM(FA57:FA62)</f>
        <v>#N/A</v>
      </c>
      <c r="FH63" s="17" t="s">
        <v>59</v>
      </c>
      <c r="FI63" s="69" t="e">
        <f>SUM(FI57:FI62)</f>
        <v>#N/A</v>
      </c>
      <c r="FP63" s="17" t="s">
        <v>59</v>
      </c>
      <c r="FQ63" s="69" t="e">
        <f>SUM(FQ57:FQ62)</f>
        <v>#N/A</v>
      </c>
      <c r="FX63" s="17" t="s">
        <v>59</v>
      </c>
      <c r="FY63" s="69" t="e">
        <f>SUM(FY57:FY62)</f>
        <v>#N/A</v>
      </c>
      <c r="GF63" s="17" t="s">
        <v>59</v>
      </c>
      <c r="GG63" s="69" t="e">
        <f>SUM(GG57:GG62)</f>
        <v>#N/A</v>
      </c>
      <c r="GN63" s="17" t="s">
        <v>59</v>
      </c>
      <c r="GO63" s="69" t="e">
        <f>SUM(GO57:GO62)</f>
        <v>#N/A</v>
      </c>
    </row>
    <row r="64" spans="3:195" ht="14.25">
      <c r="C64" s="132"/>
      <c r="D64" s="192"/>
      <c r="E64" s="161" t="s">
        <v>134</v>
      </c>
      <c r="F64" s="192">
        <v>0.29</v>
      </c>
      <c r="G64" s="123"/>
      <c r="K64" s="45"/>
      <c r="L64" s="45"/>
      <c r="N64" s="102" t="s">
        <v>163</v>
      </c>
      <c r="P64" s="24" t="s">
        <v>92</v>
      </c>
      <c r="W64" s="24"/>
      <c r="X64" s="24"/>
      <c r="Y64" s="24"/>
      <c r="Z64" s="24"/>
      <c r="AA64" s="24"/>
      <c r="AE64" s="24"/>
      <c r="AF64" s="24"/>
      <c r="AG64" s="24"/>
      <c r="AH64" s="24"/>
      <c r="AI64" s="24"/>
      <c r="AM64" s="24"/>
      <c r="AN64" s="24"/>
      <c r="AO64" s="24"/>
      <c r="AP64" s="24"/>
      <c r="AQ64" s="24"/>
      <c r="AU64" s="24"/>
      <c r="AV64" s="24"/>
      <c r="AW64" s="24"/>
      <c r="AX64" s="24"/>
      <c r="AY64" s="24"/>
      <c r="BC64" s="24"/>
      <c r="BD64" s="24"/>
      <c r="BE64" s="24"/>
      <c r="BF64" s="24"/>
      <c r="BG64" s="24"/>
      <c r="BK64" s="24"/>
      <c r="BL64" s="24"/>
      <c r="BM64" s="24"/>
      <c r="BN64" s="24"/>
      <c r="BO64" s="24"/>
      <c r="BS64" s="24"/>
      <c r="BT64" s="24"/>
      <c r="BU64" s="24"/>
      <c r="BV64" s="24"/>
      <c r="BW64" s="24"/>
      <c r="CA64" s="24"/>
      <c r="CB64" s="24"/>
      <c r="CC64" s="24"/>
      <c r="CD64" s="24"/>
      <c r="CE64" s="24"/>
      <c r="CI64" s="24"/>
      <c r="CJ64" s="24"/>
      <c r="CK64" s="24"/>
      <c r="CL64" s="24"/>
      <c r="CM64" s="24"/>
      <c r="CQ64" s="24"/>
      <c r="CR64" s="24"/>
      <c r="CS64" s="24"/>
      <c r="CT64" s="24"/>
      <c r="CU64" s="24"/>
      <c r="CY64" s="24"/>
      <c r="CZ64" s="24"/>
      <c r="DA64" s="24"/>
      <c r="DB64" s="24"/>
      <c r="DC64" s="24"/>
      <c r="DG64" s="24"/>
      <c r="DH64" s="24"/>
      <c r="DI64" s="24"/>
      <c r="DJ64" s="24"/>
      <c r="DK64" s="24"/>
      <c r="DO64" s="24"/>
      <c r="DP64" s="24"/>
      <c r="DQ64" s="24"/>
      <c r="DR64" s="24"/>
      <c r="DS64" s="24"/>
      <c r="DW64" s="24"/>
      <c r="DX64" s="24"/>
      <c r="DY64" s="24"/>
      <c r="DZ64" s="24"/>
      <c r="EA64" s="24"/>
      <c r="EE64" s="24"/>
      <c r="EF64" s="24"/>
      <c r="EG64" s="24"/>
      <c r="EH64" s="24"/>
      <c r="EI64" s="24"/>
      <c r="EM64" s="24"/>
      <c r="EN64" s="24"/>
      <c r="EO64" s="24"/>
      <c r="EP64" s="24"/>
      <c r="EQ64" s="24"/>
      <c r="EU64" s="24"/>
      <c r="EV64" s="24"/>
      <c r="EW64" s="24"/>
      <c r="EX64" s="24"/>
      <c r="EY64" s="24"/>
      <c r="FC64" s="24"/>
      <c r="FD64" s="24"/>
      <c r="FE64" s="24"/>
      <c r="FF64" s="24"/>
      <c r="FG64" s="24"/>
      <c r="FK64" s="24"/>
      <c r="FL64" s="24"/>
      <c r="FM64" s="24"/>
      <c r="FN64" s="24"/>
      <c r="FO64" s="24"/>
      <c r="FS64" s="24"/>
      <c r="FT64" s="24"/>
      <c r="FU64" s="24"/>
      <c r="FV64" s="24"/>
      <c r="FW64" s="24"/>
      <c r="GA64" s="24"/>
      <c r="GB64" s="24"/>
      <c r="GC64" s="24"/>
      <c r="GD64" s="24"/>
      <c r="GE64" s="24"/>
      <c r="GI64" s="24"/>
      <c r="GJ64" s="24"/>
      <c r="GK64" s="24"/>
      <c r="GL64" s="24"/>
      <c r="GM64" s="24"/>
    </row>
    <row r="65" spans="1:196" ht="14.25">
      <c r="A65" s="92"/>
      <c r="B65" s="92"/>
      <c r="C65" s="123"/>
      <c r="D65" s="192"/>
      <c r="E65" s="161" t="s">
        <v>138</v>
      </c>
      <c r="F65" s="192">
        <v>0.29</v>
      </c>
      <c r="G65" s="123"/>
      <c r="H65" s="92"/>
      <c r="I65" s="92"/>
      <c r="K65" s="45"/>
      <c r="L65" s="45"/>
      <c r="N65" s="73"/>
      <c r="O65" s="24"/>
      <c r="P65" s="24"/>
      <c r="W65" s="24"/>
      <c r="X65" s="24"/>
      <c r="Y65" s="24"/>
      <c r="Z65" s="64"/>
      <c r="AA65" s="64"/>
      <c r="AB65" s="64"/>
      <c r="AE65" s="24"/>
      <c r="AF65" s="24"/>
      <c r="AG65" s="24"/>
      <c r="AH65" s="64"/>
      <c r="AI65" s="64"/>
      <c r="AJ65" s="64"/>
      <c r="AM65" s="24"/>
      <c r="AN65" s="24"/>
      <c r="AO65" s="24"/>
      <c r="AP65" s="64"/>
      <c r="AQ65" s="64"/>
      <c r="AR65" s="64"/>
      <c r="AU65" s="24"/>
      <c r="AV65" s="24"/>
      <c r="AW65" s="24"/>
      <c r="AX65" s="64"/>
      <c r="AY65" s="64"/>
      <c r="AZ65" s="64"/>
      <c r="BC65" s="24"/>
      <c r="BD65" s="24"/>
      <c r="BE65" s="24"/>
      <c r="BF65" s="64"/>
      <c r="BG65" s="64"/>
      <c r="BH65" s="64"/>
      <c r="BK65" s="24"/>
      <c r="BL65" s="24"/>
      <c r="BM65" s="24"/>
      <c r="BN65" s="64"/>
      <c r="BO65" s="64"/>
      <c r="BP65" s="64"/>
      <c r="BS65" s="24"/>
      <c r="BT65" s="24"/>
      <c r="BU65" s="24"/>
      <c r="BV65" s="64"/>
      <c r="BW65" s="64"/>
      <c r="BX65" s="64"/>
      <c r="CA65" s="24"/>
      <c r="CB65" s="24"/>
      <c r="CC65" s="24"/>
      <c r="CD65" s="64"/>
      <c r="CE65" s="64"/>
      <c r="CF65" s="64"/>
      <c r="CI65" s="24"/>
      <c r="CJ65" s="24"/>
      <c r="CK65" s="24"/>
      <c r="CL65" s="64"/>
      <c r="CM65" s="64"/>
      <c r="CN65" s="64"/>
      <c r="CQ65" s="24"/>
      <c r="CR65" s="24"/>
      <c r="CS65" s="24"/>
      <c r="CT65" s="64"/>
      <c r="CU65" s="64"/>
      <c r="CV65" s="64"/>
      <c r="CY65" s="24"/>
      <c r="CZ65" s="24"/>
      <c r="DA65" s="24"/>
      <c r="DB65" s="64"/>
      <c r="DC65" s="64"/>
      <c r="DD65" s="64"/>
      <c r="DG65" s="24"/>
      <c r="DH65" s="24"/>
      <c r="DI65" s="24"/>
      <c r="DJ65" s="64"/>
      <c r="DK65" s="64"/>
      <c r="DL65" s="64"/>
      <c r="DO65" s="24"/>
      <c r="DP65" s="24"/>
      <c r="DQ65" s="24"/>
      <c r="DR65" s="64"/>
      <c r="DS65" s="64"/>
      <c r="DT65" s="64"/>
      <c r="DW65" s="24"/>
      <c r="DX65" s="24"/>
      <c r="DY65" s="24"/>
      <c r="DZ65" s="64"/>
      <c r="EA65" s="64"/>
      <c r="EB65" s="64"/>
      <c r="EE65" s="24"/>
      <c r="EF65" s="24"/>
      <c r="EG65" s="24"/>
      <c r="EH65" s="64"/>
      <c r="EI65" s="64"/>
      <c r="EJ65" s="64"/>
      <c r="EM65" s="24"/>
      <c r="EN65" s="24"/>
      <c r="EO65" s="24"/>
      <c r="EP65" s="64"/>
      <c r="EQ65" s="64"/>
      <c r="ER65" s="64"/>
      <c r="EU65" s="24"/>
      <c r="EV65" s="24"/>
      <c r="EW65" s="24"/>
      <c r="EX65" s="64"/>
      <c r="EY65" s="64"/>
      <c r="EZ65" s="64"/>
      <c r="FC65" s="24"/>
      <c r="FD65" s="24"/>
      <c r="FE65" s="24"/>
      <c r="FF65" s="64"/>
      <c r="FG65" s="64"/>
      <c r="FH65" s="64"/>
      <c r="FK65" s="24"/>
      <c r="FL65" s="24"/>
      <c r="FM65" s="24"/>
      <c r="FN65" s="64"/>
      <c r="FO65" s="64"/>
      <c r="FP65" s="64"/>
      <c r="FS65" s="24"/>
      <c r="FT65" s="24"/>
      <c r="FU65" s="24"/>
      <c r="FV65" s="64"/>
      <c r="FW65" s="64"/>
      <c r="FX65" s="64"/>
      <c r="GA65" s="24"/>
      <c r="GB65" s="24"/>
      <c r="GC65" s="24"/>
      <c r="GD65" s="64"/>
      <c r="GE65" s="64"/>
      <c r="GF65" s="64"/>
      <c r="GI65" s="24"/>
      <c r="GJ65" s="24"/>
      <c r="GK65" s="24"/>
      <c r="GL65" s="64"/>
      <c r="GM65" s="64"/>
      <c r="GN65" s="64"/>
    </row>
    <row r="66" spans="1:196" ht="14.25">
      <c r="A66" s="144"/>
      <c r="B66" s="92"/>
      <c r="C66" s="123"/>
      <c r="D66" s="45"/>
      <c r="E66" s="161" t="s">
        <v>269</v>
      </c>
      <c r="F66" s="45">
        <v>0.05</v>
      </c>
      <c r="G66" s="123"/>
      <c r="H66" s="92"/>
      <c r="I66" s="92"/>
      <c r="K66" s="45"/>
      <c r="L66" s="45"/>
      <c r="N66" s="73" t="s">
        <v>164</v>
      </c>
      <c r="P66" s="45" t="s">
        <v>92</v>
      </c>
      <c r="W66" s="24"/>
      <c r="X66" s="24"/>
      <c r="Y66" s="24"/>
      <c r="Z66" s="40"/>
      <c r="AA66" s="41"/>
      <c r="AB66" s="43"/>
      <c r="AE66" s="24"/>
      <c r="AF66" s="24"/>
      <c r="AG66" s="24"/>
      <c r="AH66" s="40"/>
      <c r="AI66" s="41"/>
      <c r="AJ66" s="43"/>
      <c r="AM66" s="24"/>
      <c r="AN66" s="24"/>
      <c r="AO66" s="24"/>
      <c r="AP66" s="40"/>
      <c r="AQ66" s="41"/>
      <c r="AR66" s="43"/>
      <c r="AU66" s="24"/>
      <c r="AV66" s="24"/>
      <c r="AW66" s="24"/>
      <c r="AX66" s="40"/>
      <c r="AY66" s="41"/>
      <c r="AZ66" s="43"/>
      <c r="BC66" s="24"/>
      <c r="BD66" s="24"/>
      <c r="BE66" s="24"/>
      <c r="BF66" s="40"/>
      <c r="BG66" s="41"/>
      <c r="BH66" s="43"/>
      <c r="BK66" s="24"/>
      <c r="BL66" s="24"/>
      <c r="BM66" s="24"/>
      <c r="BN66" s="40"/>
      <c r="BO66" s="41"/>
      <c r="BP66" s="43"/>
      <c r="BS66" s="24"/>
      <c r="BT66" s="24"/>
      <c r="BU66" s="24"/>
      <c r="BV66" s="40"/>
      <c r="BW66" s="41"/>
      <c r="BX66" s="43"/>
      <c r="CA66" s="24"/>
      <c r="CB66" s="24"/>
      <c r="CC66" s="24"/>
      <c r="CD66" s="40"/>
      <c r="CE66" s="41"/>
      <c r="CF66" s="43"/>
      <c r="CI66" s="24"/>
      <c r="CJ66" s="24"/>
      <c r="CK66" s="24"/>
      <c r="CL66" s="40"/>
      <c r="CM66" s="41"/>
      <c r="CN66" s="43"/>
      <c r="CQ66" s="24"/>
      <c r="CR66" s="24"/>
      <c r="CS66" s="24"/>
      <c r="CT66" s="40"/>
      <c r="CU66" s="41"/>
      <c r="CV66" s="43"/>
      <c r="CY66" s="24"/>
      <c r="CZ66" s="24"/>
      <c r="DA66" s="24"/>
      <c r="DB66" s="40"/>
      <c r="DC66" s="41"/>
      <c r="DD66" s="43"/>
      <c r="DG66" s="24"/>
      <c r="DH66" s="24"/>
      <c r="DI66" s="24"/>
      <c r="DJ66" s="40"/>
      <c r="DK66" s="41"/>
      <c r="DL66" s="43"/>
      <c r="DO66" s="24"/>
      <c r="DP66" s="24"/>
      <c r="DQ66" s="24"/>
      <c r="DR66" s="40"/>
      <c r="DS66" s="41"/>
      <c r="DT66" s="43"/>
      <c r="DW66" s="24"/>
      <c r="DX66" s="24"/>
      <c r="DY66" s="24"/>
      <c r="DZ66" s="40"/>
      <c r="EA66" s="41"/>
      <c r="EB66" s="43"/>
      <c r="EE66" s="24"/>
      <c r="EF66" s="24"/>
      <c r="EG66" s="24"/>
      <c r="EH66" s="40"/>
      <c r="EI66" s="41"/>
      <c r="EJ66" s="43"/>
      <c r="EM66" s="24"/>
      <c r="EN66" s="24"/>
      <c r="EO66" s="24"/>
      <c r="EP66" s="40"/>
      <c r="EQ66" s="41"/>
      <c r="ER66" s="43"/>
      <c r="EU66" s="24"/>
      <c r="EV66" s="24"/>
      <c r="EW66" s="24"/>
      <c r="EX66" s="40"/>
      <c r="EY66" s="41"/>
      <c r="EZ66" s="43"/>
      <c r="FC66" s="24"/>
      <c r="FD66" s="24"/>
      <c r="FE66" s="24"/>
      <c r="FF66" s="40"/>
      <c r="FG66" s="41"/>
      <c r="FH66" s="43"/>
      <c r="FK66" s="24"/>
      <c r="FL66" s="24"/>
      <c r="FM66" s="24"/>
      <c r="FN66" s="40"/>
      <c r="FO66" s="41"/>
      <c r="FP66" s="43"/>
      <c r="FS66" s="24"/>
      <c r="FT66" s="24"/>
      <c r="FU66" s="24"/>
      <c r="FV66" s="40"/>
      <c r="FW66" s="41"/>
      <c r="FX66" s="43"/>
      <c r="GA66" s="24"/>
      <c r="GB66" s="24"/>
      <c r="GC66" s="24"/>
      <c r="GD66" s="40"/>
      <c r="GE66" s="41"/>
      <c r="GF66" s="43"/>
      <c r="GI66" s="24"/>
      <c r="GJ66" s="24"/>
      <c r="GK66" s="24"/>
      <c r="GL66" s="40"/>
      <c r="GM66" s="41"/>
      <c r="GN66" s="43"/>
    </row>
    <row r="67" spans="1:196" ht="14.25">
      <c r="A67" s="92"/>
      <c r="B67" s="144"/>
      <c r="C67" s="123"/>
      <c r="D67" s="123"/>
      <c r="E67" s="123"/>
      <c r="F67" s="123"/>
      <c r="G67" s="123"/>
      <c r="H67" s="92"/>
      <c r="I67" s="92"/>
      <c r="K67" s="45"/>
      <c r="L67" s="45"/>
      <c r="M67" s="45"/>
      <c r="N67" s="45"/>
      <c r="O67" s="45"/>
      <c r="W67" s="24"/>
      <c r="X67" s="24"/>
      <c r="Y67" s="24"/>
      <c r="Z67" s="74" t="s">
        <v>76</v>
      </c>
      <c r="AA67" s="24"/>
      <c r="AB67" s="75" t="s">
        <v>76</v>
      </c>
      <c r="AE67" s="24"/>
      <c r="AF67" s="24"/>
      <c r="AG67" s="24"/>
      <c r="AH67" s="74" t="s">
        <v>76</v>
      </c>
      <c r="AI67" s="24"/>
      <c r="AJ67" s="75" t="s">
        <v>76</v>
      </c>
      <c r="AM67" s="24"/>
      <c r="AN67" s="24"/>
      <c r="AO67" s="24"/>
      <c r="AP67" s="74" t="s">
        <v>76</v>
      </c>
      <c r="AQ67" s="24"/>
      <c r="AR67" s="75" t="s">
        <v>76</v>
      </c>
      <c r="AU67" s="24"/>
      <c r="AV67" s="24"/>
      <c r="AW67" s="24"/>
      <c r="AX67" s="74" t="s">
        <v>76</v>
      </c>
      <c r="AY67" s="24"/>
      <c r="AZ67" s="75" t="s">
        <v>76</v>
      </c>
      <c r="BC67" s="24"/>
      <c r="BD67" s="24"/>
      <c r="BE67" s="24"/>
      <c r="BF67" s="74" t="s">
        <v>76</v>
      </c>
      <c r="BG67" s="24"/>
      <c r="BH67" s="75" t="s">
        <v>76</v>
      </c>
      <c r="BK67" s="24"/>
      <c r="BL67" s="24"/>
      <c r="BM67" s="24"/>
      <c r="BN67" s="74" t="s">
        <v>76</v>
      </c>
      <c r="BO67" s="24"/>
      <c r="BP67" s="75" t="s">
        <v>76</v>
      </c>
      <c r="BS67" s="24"/>
      <c r="BT67" s="24"/>
      <c r="BU67" s="24"/>
      <c r="BV67" s="74" t="s">
        <v>76</v>
      </c>
      <c r="BW67" s="24"/>
      <c r="BX67" s="75" t="s">
        <v>76</v>
      </c>
      <c r="CA67" s="24"/>
      <c r="CB67" s="24"/>
      <c r="CC67" s="24"/>
      <c r="CD67" s="74" t="s">
        <v>76</v>
      </c>
      <c r="CE67" s="24"/>
      <c r="CF67" s="75" t="s">
        <v>76</v>
      </c>
      <c r="CI67" s="24"/>
      <c r="CJ67" s="24"/>
      <c r="CK67" s="24"/>
      <c r="CL67" s="74" t="s">
        <v>76</v>
      </c>
      <c r="CM67" s="24"/>
      <c r="CN67" s="75" t="s">
        <v>76</v>
      </c>
      <c r="CQ67" s="24"/>
      <c r="CR67" s="24"/>
      <c r="CS67" s="24"/>
      <c r="CT67" s="74" t="s">
        <v>76</v>
      </c>
      <c r="CU67" s="24"/>
      <c r="CV67" s="75" t="s">
        <v>76</v>
      </c>
      <c r="CY67" s="24"/>
      <c r="CZ67" s="24"/>
      <c r="DA67" s="24"/>
      <c r="DB67" s="74" t="s">
        <v>76</v>
      </c>
      <c r="DC67" s="24"/>
      <c r="DD67" s="75" t="s">
        <v>76</v>
      </c>
      <c r="DG67" s="24"/>
      <c r="DH67" s="24"/>
      <c r="DI67" s="24"/>
      <c r="DJ67" s="74" t="s">
        <v>76</v>
      </c>
      <c r="DK67" s="24"/>
      <c r="DL67" s="75" t="s">
        <v>76</v>
      </c>
      <c r="DO67" s="24"/>
      <c r="DP67" s="24"/>
      <c r="DQ67" s="24"/>
      <c r="DR67" s="74" t="s">
        <v>76</v>
      </c>
      <c r="DS67" s="24"/>
      <c r="DT67" s="75" t="s">
        <v>76</v>
      </c>
      <c r="DW67" s="24"/>
      <c r="DX67" s="24"/>
      <c r="DY67" s="24"/>
      <c r="DZ67" s="74" t="s">
        <v>76</v>
      </c>
      <c r="EA67" s="24"/>
      <c r="EB67" s="75" t="s">
        <v>76</v>
      </c>
      <c r="EE67" s="24"/>
      <c r="EF67" s="24"/>
      <c r="EG67" s="24"/>
      <c r="EH67" s="74" t="s">
        <v>76</v>
      </c>
      <c r="EI67" s="24"/>
      <c r="EJ67" s="75" t="s">
        <v>76</v>
      </c>
      <c r="EM67" s="24"/>
      <c r="EN67" s="24"/>
      <c r="EO67" s="24"/>
      <c r="EP67" s="74" t="s">
        <v>76</v>
      </c>
      <c r="EQ67" s="24"/>
      <c r="ER67" s="75" t="s">
        <v>76</v>
      </c>
      <c r="EU67" s="24"/>
      <c r="EV67" s="24"/>
      <c r="EW67" s="24"/>
      <c r="EX67" s="74" t="s">
        <v>76</v>
      </c>
      <c r="EY67" s="24"/>
      <c r="EZ67" s="75" t="s">
        <v>76</v>
      </c>
      <c r="FC67" s="24"/>
      <c r="FD67" s="24"/>
      <c r="FE67" s="24"/>
      <c r="FF67" s="74" t="s">
        <v>76</v>
      </c>
      <c r="FG67" s="24"/>
      <c r="FH67" s="75" t="s">
        <v>76</v>
      </c>
      <c r="FK67" s="24"/>
      <c r="FL67" s="24"/>
      <c r="FM67" s="24"/>
      <c r="FN67" s="74" t="s">
        <v>76</v>
      </c>
      <c r="FO67" s="24"/>
      <c r="FP67" s="75" t="s">
        <v>76</v>
      </c>
      <c r="FS67" s="24"/>
      <c r="FT67" s="24"/>
      <c r="FU67" s="24"/>
      <c r="FV67" s="74" t="s">
        <v>76</v>
      </c>
      <c r="FW67" s="24"/>
      <c r="FX67" s="75" t="s">
        <v>76</v>
      </c>
      <c r="GA67" s="24"/>
      <c r="GB67" s="24"/>
      <c r="GC67" s="24"/>
      <c r="GD67" s="74" t="s">
        <v>76</v>
      </c>
      <c r="GE67" s="24"/>
      <c r="GF67" s="75" t="s">
        <v>76</v>
      </c>
      <c r="GI67" s="24"/>
      <c r="GJ67" s="24"/>
      <c r="GK67" s="24"/>
      <c r="GL67" s="74" t="s">
        <v>76</v>
      </c>
      <c r="GM67" s="24"/>
      <c r="GN67" s="75" t="s">
        <v>76</v>
      </c>
    </row>
    <row r="68" spans="2:196" ht="14.25">
      <c r="B68" s="110"/>
      <c r="K68" s="45"/>
      <c r="L68" s="45"/>
      <c r="M68" s="45"/>
      <c r="N68" s="99" t="s">
        <v>165</v>
      </c>
      <c r="O68" s="99" t="s">
        <v>166</v>
      </c>
      <c r="W68" s="24"/>
      <c r="X68" s="24"/>
      <c r="Y68" s="24"/>
      <c r="Z68" s="74" t="s">
        <v>78</v>
      </c>
      <c r="AA68" s="24"/>
      <c r="AB68" s="75" t="s">
        <v>79</v>
      </c>
      <c r="AE68" s="24"/>
      <c r="AF68" s="24"/>
      <c r="AG68" s="24"/>
      <c r="AH68" s="74" t="s">
        <v>78</v>
      </c>
      <c r="AI68" s="24"/>
      <c r="AJ68" s="75" t="s">
        <v>79</v>
      </c>
      <c r="AM68" s="24"/>
      <c r="AN68" s="24"/>
      <c r="AO68" s="24"/>
      <c r="AP68" s="74" t="s">
        <v>78</v>
      </c>
      <c r="AQ68" s="24"/>
      <c r="AR68" s="75" t="s">
        <v>79</v>
      </c>
      <c r="AU68" s="24"/>
      <c r="AV68" s="24"/>
      <c r="AW68" s="24"/>
      <c r="AX68" s="74" t="s">
        <v>78</v>
      </c>
      <c r="AY68" s="24"/>
      <c r="AZ68" s="75" t="s">
        <v>79</v>
      </c>
      <c r="BC68" s="24"/>
      <c r="BD68" s="24"/>
      <c r="BE68" s="24"/>
      <c r="BF68" s="74" t="s">
        <v>78</v>
      </c>
      <c r="BG68" s="24"/>
      <c r="BH68" s="75" t="s">
        <v>79</v>
      </c>
      <c r="BK68" s="24"/>
      <c r="BL68" s="24"/>
      <c r="BM68" s="24"/>
      <c r="BN68" s="74" t="s">
        <v>78</v>
      </c>
      <c r="BO68" s="24"/>
      <c r="BP68" s="75" t="s">
        <v>79</v>
      </c>
      <c r="BS68" s="24"/>
      <c r="BT68" s="24"/>
      <c r="BU68" s="24"/>
      <c r="BV68" s="74" t="s">
        <v>78</v>
      </c>
      <c r="BW68" s="24"/>
      <c r="BX68" s="75" t="s">
        <v>79</v>
      </c>
      <c r="CA68" s="24"/>
      <c r="CB68" s="24"/>
      <c r="CC68" s="24"/>
      <c r="CD68" s="74" t="s">
        <v>78</v>
      </c>
      <c r="CE68" s="24"/>
      <c r="CF68" s="75" t="s">
        <v>79</v>
      </c>
      <c r="CI68" s="24"/>
      <c r="CJ68" s="24"/>
      <c r="CK68" s="24"/>
      <c r="CL68" s="74" t="s">
        <v>78</v>
      </c>
      <c r="CM68" s="24"/>
      <c r="CN68" s="75" t="s">
        <v>79</v>
      </c>
      <c r="CQ68" s="24"/>
      <c r="CR68" s="24"/>
      <c r="CS68" s="24"/>
      <c r="CT68" s="74" t="s">
        <v>78</v>
      </c>
      <c r="CU68" s="24"/>
      <c r="CV68" s="75" t="s">
        <v>79</v>
      </c>
      <c r="CY68" s="24"/>
      <c r="CZ68" s="24"/>
      <c r="DA68" s="24"/>
      <c r="DB68" s="74" t="s">
        <v>78</v>
      </c>
      <c r="DC68" s="24"/>
      <c r="DD68" s="75" t="s">
        <v>79</v>
      </c>
      <c r="DG68" s="24"/>
      <c r="DH68" s="24"/>
      <c r="DI68" s="24"/>
      <c r="DJ68" s="74" t="s">
        <v>78</v>
      </c>
      <c r="DK68" s="24"/>
      <c r="DL68" s="75" t="s">
        <v>79</v>
      </c>
      <c r="DO68" s="24"/>
      <c r="DP68" s="24"/>
      <c r="DQ68" s="24"/>
      <c r="DR68" s="74" t="s">
        <v>78</v>
      </c>
      <c r="DS68" s="24"/>
      <c r="DT68" s="75" t="s">
        <v>79</v>
      </c>
      <c r="DW68" s="24"/>
      <c r="DX68" s="24"/>
      <c r="DY68" s="24"/>
      <c r="DZ68" s="74" t="s">
        <v>78</v>
      </c>
      <c r="EA68" s="24"/>
      <c r="EB68" s="75" t="s">
        <v>79</v>
      </c>
      <c r="EE68" s="24"/>
      <c r="EF68" s="24"/>
      <c r="EG68" s="24"/>
      <c r="EH68" s="74" t="s">
        <v>78</v>
      </c>
      <c r="EI68" s="24"/>
      <c r="EJ68" s="75" t="s">
        <v>79</v>
      </c>
      <c r="EM68" s="24"/>
      <c r="EN68" s="24"/>
      <c r="EO68" s="24"/>
      <c r="EP68" s="74" t="s">
        <v>78</v>
      </c>
      <c r="EQ68" s="24"/>
      <c r="ER68" s="75" t="s">
        <v>79</v>
      </c>
      <c r="EU68" s="24"/>
      <c r="EV68" s="24"/>
      <c r="EW68" s="24"/>
      <c r="EX68" s="74" t="s">
        <v>78</v>
      </c>
      <c r="EY68" s="24"/>
      <c r="EZ68" s="75" t="s">
        <v>79</v>
      </c>
      <c r="FC68" s="24"/>
      <c r="FD68" s="24"/>
      <c r="FE68" s="24"/>
      <c r="FF68" s="74" t="s">
        <v>78</v>
      </c>
      <c r="FG68" s="24"/>
      <c r="FH68" s="75" t="s">
        <v>79</v>
      </c>
      <c r="FK68" s="24"/>
      <c r="FL68" s="24"/>
      <c r="FM68" s="24"/>
      <c r="FN68" s="74" t="s">
        <v>78</v>
      </c>
      <c r="FO68" s="24"/>
      <c r="FP68" s="75" t="s">
        <v>79</v>
      </c>
      <c r="FS68" s="24"/>
      <c r="FT68" s="24"/>
      <c r="FU68" s="24"/>
      <c r="FV68" s="74" t="s">
        <v>78</v>
      </c>
      <c r="FW68" s="24"/>
      <c r="FX68" s="75" t="s">
        <v>79</v>
      </c>
      <c r="GA68" s="24"/>
      <c r="GB68" s="24"/>
      <c r="GC68" s="24"/>
      <c r="GD68" s="74" t="s">
        <v>78</v>
      </c>
      <c r="GE68" s="24"/>
      <c r="GF68" s="75" t="s">
        <v>79</v>
      </c>
      <c r="GI68" s="24"/>
      <c r="GJ68" s="24"/>
      <c r="GK68" s="24"/>
      <c r="GL68" s="74" t="s">
        <v>78</v>
      </c>
      <c r="GM68" s="24"/>
      <c r="GN68" s="75" t="s">
        <v>79</v>
      </c>
    </row>
    <row r="69" spans="4:196" ht="14.25">
      <c r="D69" s="64"/>
      <c r="E69" s="64"/>
      <c r="F69" s="64"/>
      <c r="K69" s="45"/>
      <c r="L69" s="45"/>
      <c r="M69" s="45"/>
      <c r="N69" s="99" t="s">
        <v>167</v>
      </c>
      <c r="O69" s="99" t="s">
        <v>168</v>
      </c>
      <c r="W69" s="24"/>
      <c r="X69" s="24"/>
      <c r="Y69" s="24"/>
      <c r="Z69" s="74" t="s">
        <v>81</v>
      </c>
      <c r="AA69" s="25" t="s">
        <v>82</v>
      </c>
      <c r="AB69" s="75" t="s">
        <v>83</v>
      </c>
      <c r="AE69" s="24"/>
      <c r="AF69" s="24"/>
      <c r="AG69" s="24"/>
      <c r="AH69" s="74" t="s">
        <v>81</v>
      </c>
      <c r="AI69" s="25" t="s">
        <v>82</v>
      </c>
      <c r="AJ69" s="75" t="s">
        <v>83</v>
      </c>
      <c r="AM69" s="24"/>
      <c r="AN69" s="24"/>
      <c r="AO69" s="24"/>
      <c r="AP69" s="74" t="s">
        <v>81</v>
      </c>
      <c r="AQ69" s="25" t="s">
        <v>82</v>
      </c>
      <c r="AR69" s="75" t="s">
        <v>83</v>
      </c>
      <c r="AU69" s="24"/>
      <c r="AV69" s="24"/>
      <c r="AW69" s="24"/>
      <c r="AX69" s="74" t="s">
        <v>81</v>
      </c>
      <c r="AY69" s="25" t="s">
        <v>82</v>
      </c>
      <c r="AZ69" s="75" t="s">
        <v>83</v>
      </c>
      <c r="BC69" s="24"/>
      <c r="BD69" s="24"/>
      <c r="BE69" s="24"/>
      <c r="BF69" s="74" t="s">
        <v>81</v>
      </c>
      <c r="BG69" s="25" t="s">
        <v>82</v>
      </c>
      <c r="BH69" s="75" t="s">
        <v>83</v>
      </c>
      <c r="BK69" s="24"/>
      <c r="BL69" s="24"/>
      <c r="BM69" s="24"/>
      <c r="BN69" s="74" t="s">
        <v>81</v>
      </c>
      <c r="BO69" s="25" t="s">
        <v>82</v>
      </c>
      <c r="BP69" s="75" t="s">
        <v>83</v>
      </c>
      <c r="BS69" s="24"/>
      <c r="BT69" s="24"/>
      <c r="BU69" s="24"/>
      <c r="BV69" s="74" t="s">
        <v>81</v>
      </c>
      <c r="BW69" s="25" t="s">
        <v>82</v>
      </c>
      <c r="BX69" s="75" t="s">
        <v>83</v>
      </c>
      <c r="CA69" s="24"/>
      <c r="CB69" s="24"/>
      <c r="CC69" s="24"/>
      <c r="CD69" s="74" t="s">
        <v>81</v>
      </c>
      <c r="CE69" s="25" t="s">
        <v>82</v>
      </c>
      <c r="CF69" s="75" t="s">
        <v>83</v>
      </c>
      <c r="CI69" s="24"/>
      <c r="CJ69" s="24"/>
      <c r="CK69" s="24"/>
      <c r="CL69" s="74" t="s">
        <v>81</v>
      </c>
      <c r="CM69" s="25" t="s">
        <v>82</v>
      </c>
      <c r="CN69" s="75" t="s">
        <v>83</v>
      </c>
      <c r="CQ69" s="24"/>
      <c r="CR69" s="24"/>
      <c r="CS69" s="24"/>
      <c r="CT69" s="74" t="s">
        <v>81</v>
      </c>
      <c r="CU69" s="25" t="s">
        <v>82</v>
      </c>
      <c r="CV69" s="75" t="s">
        <v>83</v>
      </c>
      <c r="CY69" s="24"/>
      <c r="CZ69" s="24"/>
      <c r="DA69" s="24"/>
      <c r="DB69" s="74" t="s">
        <v>81</v>
      </c>
      <c r="DC69" s="25" t="s">
        <v>82</v>
      </c>
      <c r="DD69" s="75" t="s">
        <v>83</v>
      </c>
      <c r="DG69" s="24"/>
      <c r="DH69" s="24"/>
      <c r="DI69" s="24"/>
      <c r="DJ69" s="74" t="s">
        <v>81</v>
      </c>
      <c r="DK69" s="25" t="s">
        <v>82</v>
      </c>
      <c r="DL69" s="75" t="s">
        <v>83</v>
      </c>
      <c r="DO69" s="24"/>
      <c r="DP69" s="24"/>
      <c r="DQ69" s="24"/>
      <c r="DR69" s="74" t="s">
        <v>81</v>
      </c>
      <c r="DS69" s="25" t="s">
        <v>82</v>
      </c>
      <c r="DT69" s="75" t="s">
        <v>83</v>
      </c>
      <c r="DW69" s="24"/>
      <c r="DX69" s="24"/>
      <c r="DY69" s="24"/>
      <c r="DZ69" s="74" t="s">
        <v>81</v>
      </c>
      <c r="EA69" s="25" t="s">
        <v>82</v>
      </c>
      <c r="EB69" s="75" t="s">
        <v>83</v>
      </c>
      <c r="EE69" s="24"/>
      <c r="EF69" s="24"/>
      <c r="EG69" s="24"/>
      <c r="EH69" s="74" t="s">
        <v>81</v>
      </c>
      <c r="EI69" s="25" t="s">
        <v>82</v>
      </c>
      <c r="EJ69" s="75" t="s">
        <v>83</v>
      </c>
      <c r="EM69" s="24"/>
      <c r="EN69" s="24"/>
      <c r="EO69" s="24"/>
      <c r="EP69" s="74" t="s">
        <v>81</v>
      </c>
      <c r="EQ69" s="25" t="s">
        <v>82</v>
      </c>
      <c r="ER69" s="75" t="s">
        <v>83</v>
      </c>
      <c r="EU69" s="24"/>
      <c r="EV69" s="24"/>
      <c r="EW69" s="24"/>
      <c r="EX69" s="74" t="s">
        <v>81</v>
      </c>
      <c r="EY69" s="25" t="s">
        <v>82</v>
      </c>
      <c r="EZ69" s="75" t="s">
        <v>83</v>
      </c>
      <c r="FC69" s="24"/>
      <c r="FD69" s="24"/>
      <c r="FE69" s="24"/>
      <c r="FF69" s="74" t="s">
        <v>81</v>
      </c>
      <c r="FG69" s="25" t="s">
        <v>82</v>
      </c>
      <c r="FH69" s="75" t="s">
        <v>83</v>
      </c>
      <c r="FK69" s="24"/>
      <c r="FL69" s="24"/>
      <c r="FM69" s="24"/>
      <c r="FN69" s="74" t="s">
        <v>81</v>
      </c>
      <c r="FO69" s="25" t="s">
        <v>82</v>
      </c>
      <c r="FP69" s="75" t="s">
        <v>83</v>
      </c>
      <c r="FS69" s="24"/>
      <c r="FT69" s="24"/>
      <c r="FU69" s="24"/>
      <c r="FV69" s="74" t="s">
        <v>81</v>
      </c>
      <c r="FW69" s="25" t="s">
        <v>82</v>
      </c>
      <c r="FX69" s="75" t="s">
        <v>83</v>
      </c>
      <c r="GA69" s="24"/>
      <c r="GB69" s="24"/>
      <c r="GC69" s="24"/>
      <c r="GD69" s="74" t="s">
        <v>81</v>
      </c>
      <c r="GE69" s="25" t="s">
        <v>82</v>
      </c>
      <c r="GF69" s="75" t="s">
        <v>83</v>
      </c>
      <c r="GI69" s="24"/>
      <c r="GJ69" s="24"/>
      <c r="GK69" s="24"/>
      <c r="GL69" s="74" t="s">
        <v>81</v>
      </c>
      <c r="GM69" s="25" t="s">
        <v>82</v>
      </c>
      <c r="GN69" s="75" t="s">
        <v>83</v>
      </c>
    </row>
    <row r="70" spans="1:196" ht="14.25">
      <c r="A70" s="4"/>
      <c r="B70" s="4"/>
      <c r="C70" s="4"/>
      <c r="D70" s="119"/>
      <c r="E70" s="162"/>
      <c r="F70" s="110"/>
      <c r="G70" s="4"/>
      <c r="H70" s="4"/>
      <c r="I70" s="4"/>
      <c r="K70" s="45">
        <v>1</v>
      </c>
      <c r="L70" s="45" t="s">
        <v>39</v>
      </c>
      <c r="M70" s="45">
        <v>1</v>
      </c>
      <c r="N70" s="31" t="e">
        <f>GL24+GL49+GL73+GL97</f>
        <v>#DIV/0!</v>
      </c>
      <c r="O70" s="95" t="e">
        <f>GN50+GN25+GN74+GN98</f>
        <v>#N/A</v>
      </c>
      <c r="P70" s="103"/>
      <c r="Q70" s="103"/>
      <c r="R70" s="103" t="s">
        <v>169</v>
      </c>
      <c r="S70" s="103"/>
      <c r="T70" s="17" t="s">
        <v>170</v>
      </c>
      <c r="W70" s="24"/>
      <c r="X70" s="31"/>
      <c r="Y70" s="31"/>
      <c r="Z70" s="74" t="s">
        <v>84</v>
      </c>
      <c r="AA70" s="25" t="s">
        <v>85</v>
      </c>
      <c r="AB70" s="75" t="s">
        <v>61</v>
      </c>
      <c r="AE70" s="24"/>
      <c r="AF70" s="31"/>
      <c r="AG70" s="31"/>
      <c r="AH70" s="74" t="s">
        <v>84</v>
      </c>
      <c r="AI70" s="25" t="s">
        <v>85</v>
      </c>
      <c r="AJ70" s="75" t="s">
        <v>61</v>
      </c>
      <c r="AM70" s="24"/>
      <c r="AN70" s="31"/>
      <c r="AO70" s="31"/>
      <c r="AP70" s="74" t="s">
        <v>84</v>
      </c>
      <c r="AQ70" s="25" t="s">
        <v>85</v>
      </c>
      <c r="AR70" s="75" t="s">
        <v>61</v>
      </c>
      <c r="AU70" s="24"/>
      <c r="AV70" s="31"/>
      <c r="AW70" s="31"/>
      <c r="AX70" s="74" t="s">
        <v>84</v>
      </c>
      <c r="AY70" s="25" t="s">
        <v>85</v>
      </c>
      <c r="AZ70" s="75" t="s">
        <v>61</v>
      </c>
      <c r="BC70" s="24"/>
      <c r="BD70" s="31"/>
      <c r="BE70" s="31"/>
      <c r="BF70" s="74" t="s">
        <v>84</v>
      </c>
      <c r="BG70" s="25" t="s">
        <v>85</v>
      </c>
      <c r="BH70" s="75" t="s">
        <v>61</v>
      </c>
      <c r="BK70" s="24"/>
      <c r="BL70" s="31"/>
      <c r="BM70" s="31"/>
      <c r="BN70" s="74" t="s">
        <v>84</v>
      </c>
      <c r="BO70" s="25" t="s">
        <v>85</v>
      </c>
      <c r="BP70" s="75" t="s">
        <v>61</v>
      </c>
      <c r="BS70" s="24"/>
      <c r="BT70" s="31"/>
      <c r="BU70" s="31"/>
      <c r="BV70" s="74" t="s">
        <v>84</v>
      </c>
      <c r="BW70" s="25" t="s">
        <v>85</v>
      </c>
      <c r="BX70" s="75" t="s">
        <v>61</v>
      </c>
      <c r="CA70" s="24"/>
      <c r="CB70" s="31"/>
      <c r="CC70" s="31"/>
      <c r="CD70" s="74" t="s">
        <v>84</v>
      </c>
      <c r="CE70" s="25" t="s">
        <v>85</v>
      </c>
      <c r="CF70" s="75" t="s">
        <v>61</v>
      </c>
      <c r="CI70" s="24"/>
      <c r="CJ70" s="31"/>
      <c r="CK70" s="31"/>
      <c r="CL70" s="74" t="s">
        <v>84</v>
      </c>
      <c r="CM70" s="25" t="s">
        <v>85</v>
      </c>
      <c r="CN70" s="75" t="s">
        <v>61</v>
      </c>
      <c r="CQ70" s="24"/>
      <c r="CR70" s="31"/>
      <c r="CS70" s="31"/>
      <c r="CT70" s="74" t="s">
        <v>84</v>
      </c>
      <c r="CU70" s="25" t="s">
        <v>85</v>
      </c>
      <c r="CV70" s="75" t="s">
        <v>61</v>
      </c>
      <c r="CY70" s="24"/>
      <c r="CZ70" s="31"/>
      <c r="DA70" s="31"/>
      <c r="DB70" s="74" t="s">
        <v>84</v>
      </c>
      <c r="DC70" s="25" t="s">
        <v>85</v>
      </c>
      <c r="DD70" s="75" t="s">
        <v>61</v>
      </c>
      <c r="DG70" s="24"/>
      <c r="DH70" s="31"/>
      <c r="DI70" s="31"/>
      <c r="DJ70" s="74" t="s">
        <v>84</v>
      </c>
      <c r="DK70" s="25" t="s">
        <v>85</v>
      </c>
      <c r="DL70" s="75" t="s">
        <v>61</v>
      </c>
      <c r="DO70" s="24"/>
      <c r="DP70" s="31"/>
      <c r="DQ70" s="31"/>
      <c r="DR70" s="74" t="s">
        <v>84</v>
      </c>
      <c r="DS70" s="25" t="s">
        <v>85</v>
      </c>
      <c r="DT70" s="75" t="s">
        <v>61</v>
      </c>
      <c r="DW70" s="24"/>
      <c r="DX70" s="31"/>
      <c r="DY70" s="31"/>
      <c r="DZ70" s="74" t="s">
        <v>84</v>
      </c>
      <c r="EA70" s="25" t="s">
        <v>85</v>
      </c>
      <c r="EB70" s="75" t="s">
        <v>61</v>
      </c>
      <c r="EE70" s="24"/>
      <c r="EF70" s="31"/>
      <c r="EG70" s="31"/>
      <c r="EH70" s="74" t="s">
        <v>84</v>
      </c>
      <c r="EI70" s="25" t="s">
        <v>85</v>
      </c>
      <c r="EJ70" s="75" t="s">
        <v>61</v>
      </c>
      <c r="EM70" s="24"/>
      <c r="EN70" s="31"/>
      <c r="EO70" s="31"/>
      <c r="EP70" s="74" t="s">
        <v>84</v>
      </c>
      <c r="EQ70" s="25" t="s">
        <v>85</v>
      </c>
      <c r="ER70" s="75" t="s">
        <v>61</v>
      </c>
      <c r="EU70" s="24"/>
      <c r="EV70" s="31"/>
      <c r="EW70" s="31"/>
      <c r="EX70" s="74" t="s">
        <v>84</v>
      </c>
      <c r="EY70" s="25" t="s">
        <v>85</v>
      </c>
      <c r="EZ70" s="75" t="s">
        <v>61</v>
      </c>
      <c r="FC70" s="24"/>
      <c r="FD70" s="31"/>
      <c r="FE70" s="31"/>
      <c r="FF70" s="74" t="s">
        <v>84</v>
      </c>
      <c r="FG70" s="25" t="s">
        <v>85</v>
      </c>
      <c r="FH70" s="75" t="s">
        <v>61</v>
      </c>
      <c r="FK70" s="24"/>
      <c r="FL70" s="31"/>
      <c r="FM70" s="31"/>
      <c r="FN70" s="74" t="s">
        <v>84</v>
      </c>
      <c r="FO70" s="25" t="s">
        <v>85</v>
      </c>
      <c r="FP70" s="75" t="s">
        <v>61</v>
      </c>
      <c r="FS70" s="24"/>
      <c r="FT70" s="31"/>
      <c r="FU70" s="31"/>
      <c r="FV70" s="74" t="s">
        <v>84</v>
      </c>
      <c r="FW70" s="25" t="s">
        <v>85</v>
      </c>
      <c r="FX70" s="75" t="s">
        <v>61</v>
      </c>
      <c r="GA70" s="24"/>
      <c r="GB70" s="31"/>
      <c r="GC70" s="31"/>
      <c r="GD70" s="74" t="s">
        <v>84</v>
      </c>
      <c r="GE70" s="25" t="s">
        <v>85</v>
      </c>
      <c r="GF70" s="75" t="s">
        <v>61</v>
      </c>
      <c r="GI70" s="24"/>
      <c r="GJ70" s="31"/>
      <c r="GK70" s="31"/>
      <c r="GL70" s="74" t="s">
        <v>84</v>
      </c>
      <c r="GM70" s="25" t="s">
        <v>85</v>
      </c>
      <c r="GN70" s="75" t="s">
        <v>61</v>
      </c>
    </row>
    <row r="71" spans="4:196" ht="14.25">
      <c r="D71" s="119" t="s">
        <v>293</v>
      </c>
      <c r="E71" s="163" t="e">
        <f>D35*D36/E76</f>
        <v>#DIV/0!</v>
      </c>
      <c r="F71" s="110" t="s">
        <v>114</v>
      </c>
      <c r="I71" s="2"/>
      <c r="K71" s="45">
        <v>2</v>
      </c>
      <c r="L71" s="45" t="s">
        <v>41</v>
      </c>
      <c r="M71" s="45">
        <v>0.917</v>
      </c>
      <c r="N71" s="95" t="e">
        <f>$N$70*M71</f>
        <v>#DIV/0!</v>
      </c>
      <c r="O71" s="95" t="e">
        <f>$O$70*M71</f>
        <v>#N/A</v>
      </c>
      <c r="P71" s="103"/>
      <c r="Q71" s="104"/>
      <c r="R71" s="107">
        <v>2</v>
      </c>
      <c r="S71" s="105"/>
      <c r="W71" s="24"/>
      <c r="X71" s="24"/>
      <c r="Y71" s="24"/>
      <c r="Z71" s="79"/>
      <c r="AA71" s="24"/>
      <c r="AB71" s="80"/>
      <c r="AE71" s="24"/>
      <c r="AF71" s="24"/>
      <c r="AG71" s="24"/>
      <c r="AH71" s="79"/>
      <c r="AI71" s="24"/>
      <c r="AJ71" s="80"/>
      <c r="AM71" s="24"/>
      <c r="AN71" s="24"/>
      <c r="AO71" s="24"/>
      <c r="AP71" s="79"/>
      <c r="AQ71" s="24"/>
      <c r="AR71" s="80"/>
      <c r="AU71" s="24"/>
      <c r="AV71" s="24"/>
      <c r="AW71" s="24"/>
      <c r="AX71" s="79"/>
      <c r="AY71" s="24"/>
      <c r="AZ71" s="80"/>
      <c r="BC71" s="24"/>
      <c r="BD71" s="24"/>
      <c r="BE71" s="24"/>
      <c r="BF71" s="79"/>
      <c r="BG71" s="24"/>
      <c r="BH71" s="80"/>
      <c r="BK71" s="24"/>
      <c r="BL71" s="24"/>
      <c r="BM71" s="24"/>
      <c r="BN71" s="79"/>
      <c r="BO71" s="24"/>
      <c r="BP71" s="80"/>
      <c r="BS71" s="24"/>
      <c r="BT71" s="24"/>
      <c r="BU71" s="24"/>
      <c r="BV71" s="79"/>
      <c r="BW71" s="24"/>
      <c r="BX71" s="80"/>
      <c r="CA71" s="24"/>
      <c r="CB71" s="24"/>
      <c r="CC71" s="24"/>
      <c r="CD71" s="79"/>
      <c r="CE71" s="24"/>
      <c r="CF71" s="80"/>
      <c r="CI71" s="24"/>
      <c r="CJ71" s="24"/>
      <c r="CK71" s="24"/>
      <c r="CL71" s="79"/>
      <c r="CM71" s="24"/>
      <c r="CN71" s="80"/>
      <c r="CQ71" s="24"/>
      <c r="CR71" s="24"/>
      <c r="CS71" s="24"/>
      <c r="CT71" s="79"/>
      <c r="CU71" s="24"/>
      <c r="CV71" s="80"/>
      <c r="CY71" s="24"/>
      <c r="CZ71" s="24"/>
      <c r="DA71" s="24"/>
      <c r="DB71" s="79"/>
      <c r="DC71" s="24"/>
      <c r="DD71" s="80"/>
      <c r="DG71" s="24"/>
      <c r="DH71" s="24"/>
      <c r="DI71" s="24"/>
      <c r="DJ71" s="79"/>
      <c r="DK71" s="24"/>
      <c r="DL71" s="80"/>
      <c r="DO71" s="24"/>
      <c r="DP71" s="24"/>
      <c r="DQ71" s="24"/>
      <c r="DR71" s="79"/>
      <c r="DS71" s="24"/>
      <c r="DT71" s="80"/>
      <c r="DW71" s="24"/>
      <c r="DX71" s="24"/>
      <c r="DY71" s="24"/>
      <c r="DZ71" s="79"/>
      <c r="EA71" s="24"/>
      <c r="EB71" s="80"/>
      <c r="EE71" s="24"/>
      <c r="EF71" s="24"/>
      <c r="EG71" s="24"/>
      <c r="EH71" s="79"/>
      <c r="EI71" s="24"/>
      <c r="EJ71" s="80"/>
      <c r="EM71" s="24"/>
      <c r="EN71" s="24"/>
      <c r="EO71" s="24"/>
      <c r="EP71" s="79"/>
      <c r="EQ71" s="24"/>
      <c r="ER71" s="80"/>
      <c r="EU71" s="24"/>
      <c r="EV71" s="24"/>
      <c r="EW71" s="24"/>
      <c r="EX71" s="79"/>
      <c r="EY71" s="24"/>
      <c r="EZ71" s="80"/>
      <c r="FC71" s="24"/>
      <c r="FD71" s="24"/>
      <c r="FE71" s="24"/>
      <c r="FF71" s="79"/>
      <c r="FG71" s="24"/>
      <c r="FH71" s="80"/>
      <c r="FK71" s="24"/>
      <c r="FL71" s="24"/>
      <c r="FM71" s="24"/>
      <c r="FN71" s="79"/>
      <c r="FO71" s="24"/>
      <c r="FP71" s="80"/>
      <c r="FS71" s="24"/>
      <c r="FT71" s="24"/>
      <c r="FU71" s="24"/>
      <c r="FV71" s="79"/>
      <c r="FW71" s="24"/>
      <c r="FX71" s="80"/>
      <c r="GA71" s="24"/>
      <c r="GB71" s="24"/>
      <c r="GC71" s="24"/>
      <c r="GD71" s="79"/>
      <c r="GE71" s="24"/>
      <c r="GF71" s="80"/>
      <c r="GI71" s="24"/>
      <c r="GJ71" s="24"/>
      <c r="GK71" s="24"/>
      <c r="GL71" s="79"/>
      <c r="GM71" s="24"/>
      <c r="GN71" s="80"/>
    </row>
    <row r="72" spans="1:196" ht="15">
      <c r="A72" s="146" t="s">
        <v>5</v>
      </c>
      <c r="B72" s="2"/>
      <c r="C72" s="8" t="s">
        <v>6</v>
      </c>
      <c r="D72" s="2"/>
      <c r="E72" s="2"/>
      <c r="F72" s="2"/>
      <c r="G72" s="2"/>
      <c r="H72" s="2"/>
      <c r="I72" s="2"/>
      <c r="K72" s="45">
        <v>3</v>
      </c>
      <c r="L72" s="45" t="s">
        <v>48</v>
      </c>
      <c r="M72" s="45">
        <v>0.95</v>
      </c>
      <c r="N72" s="95" t="e">
        <f>$N$70*M72</f>
        <v>#DIV/0!</v>
      </c>
      <c r="O72" s="95" t="e">
        <f>$O$70*M72</f>
        <v>#N/A</v>
      </c>
      <c r="P72" s="103"/>
      <c r="Q72" s="103"/>
      <c r="R72" s="103"/>
      <c r="S72" s="103"/>
      <c r="T72" s="110" t="s">
        <v>747</v>
      </c>
      <c r="W72" s="24"/>
      <c r="X72" s="24"/>
      <c r="Y72" s="24"/>
      <c r="Z72" s="81" t="e">
        <f>($O$30*0.85)*AC63*0.227</f>
        <v>#DIV/0!</v>
      </c>
      <c r="AA72" s="66" t="e">
        <f>$K$56*$L$56</f>
        <v>#DIV/0!</v>
      </c>
      <c r="AB72" s="82" t="e">
        <f>AC63*AA72*0.227</f>
        <v>#N/A</v>
      </c>
      <c r="AE72" s="24"/>
      <c r="AF72" s="24"/>
      <c r="AG72" s="24"/>
      <c r="AH72" s="81" t="e">
        <f>($O$30*0.85)*AK63*0.227</f>
        <v>#DIV/0!</v>
      </c>
      <c r="AI72" s="66" t="e">
        <f>$K$56*$L$56</f>
        <v>#DIV/0!</v>
      </c>
      <c r="AJ72" s="82" t="e">
        <f>AK63*AI72*0.227</f>
        <v>#N/A</v>
      </c>
      <c r="AM72" s="24"/>
      <c r="AN72" s="24"/>
      <c r="AO72" s="24"/>
      <c r="AP72" s="81" t="e">
        <f>($O$30*0.85)*AS63*0.227</f>
        <v>#DIV/0!</v>
      </c>
      <c r="AQ72" s="66" t="e">
        <f>$K$56*$L$56</f>
        <v>#DIV/0!</v>
      </c>
      <c r="AR72" s="82" t="e">
        <f>AS63*AQ72*0.227</f>
        <v>#N/A</v>
      </c>
      <c r="AU72" s="24"/>
      <c r="AV72" s="24"/>
      <c r="AW72" s="24"/>
      <c r="AX72" s="81" t="e">
        <f>($O$30*0.85)*BA63*0.227</f>
        <v>#DIV/0!</v>
      </c>
      <c r="AY72" s="66" t="e">
        <f>$K$56*$L$56</f>
        <v>#DIV/0!</v>
      </c>
      <c r="AZ72" s="82" t="e">
        <f>BA63*AY72*0.227</f>
        <v>#N/A</v>
      </c>
      <c r="BC72" s="24"/>
      <c r="BD72" s="24"/>
      <c r="BE72" s="24"/>
      <c r="BF72" s="81" t="e">
        <f>($O$30*0.85)*BI63*0.227</f>
        <v>#DIV/0!</v>
      </c>
      <c r="BG72" s="66" t="e">
        <f>$K$56*$L$56</f>
        <v>#DIV/0!</v>
      </c>
      <c r="BH72" s="82" t="e">
        <f>BI63*BG72*0.227</f>
        <v>#N/A</v>
      </c>
      <c r="BK72" s="24"/>
      <c r="BL72" s="24"/>
      <c r="BM72" s="24"/>
      <c r="BN72" s="81" t="e">
        <f>($O$30*0.85)*BQ63*0.227</f>
        <v>#DIV/0!</v>
      </c>
      <c r="BO72" s="66" t="e">
        <f>$K$56*$L$56</f>
        <v>#DIV/0!</v>
      </c>
      <c r="BP72" s="82" t="e">
        <f>BQ63*BO72*0.227</f>
        <v>#N/A</v>
      </c>
      <c r="BS72" s="24"/>
      <c r="BT72" s="24"/>
      <c r="BU72" s="24"/>
      <c r="BV72" s="81" t="e">
        <f>($O$30*0.85)*BY63*0.227</f>
        <v>#DIV/0!</v>
      </c>
      <c r="BW72" s="66" t="e">
        <f>$K$56*$L$56</f>
        <v>#DIV/0!</v>
      </c>
      <c r="BX72" s="82" t="e">
        <f>BY63*BW72*0.227</f>
        <v>#N/A</v>
      </c>
      <c r="CA72" s="24"/>
      <c r="CB72" s="24"/>
      <c r="CC72" s="24"/>
      <c r="CD72" s="81" t="e">
        <f>($O$30*0.85)*CG63*0.227</f>
        <v>#DIV/0!</v>
      </c>
      <c r="CE72" s="66" t="e">
        <f>$K$56*$L$56</f>
        <v>#DIV/0!</v>
      </c>
      <c r="CF72" s="82" t="e">
        <f>CG63*CE72*0.227</f>
        <v>#N/A</v>
      </c>
      <c r="CI72" s="24"/>
      <c r="CJ72" s="24"/>
      <c r="CK72" s="24"/>
      <c r="CL72" s="81" t="e">
        <f>($O$30*0.85)*CO63*0.227</f>
        <v>#DIV/0!</v>
      </c>
      <c r="CM72" s="66" t="e">
        <f>$K$56*$L$56</f>
        <v>#DIV/0!</v>
      </c>
      <c r="CN72" s="82" t="e">
        <f>CO63*CM72*0.227</f>
        <v>#N/A</v>
      </c>
      <c r="CQ72" s="24"/>
      <c r="CR72" s="24"/>
      <c r="CS72" s="24"/>
      <c r="CT72" s="81" t="e">
        <f>($O$30*0.85)*CW63*0.227</f>
        <v>#DIV/0!</v>
      </c>
      <c r="CU72" s="66" t="e">
        <f>$K$56*$L$56</f>
        <v>#DIV/0!</v>
      </c>
      <c r="CV72" s="82" t="e">
        <f>CW63*CU72*0.227</f>
        <v>#N/A</v>
      </c>
      <c r="CY72" s="24"/>
      <c r="CZ72" s="24"/>
      <c r="DA72" s="24"/>
      <c r="DB72" s="81" t="e">
        <f>($O$30*0.85)*DE63*0.227</f>
        <v>#DIV/0!</v>
      </c>
      <c r="DC72" s="66" t="e">
        <f>$K$56*$L$56</f>
        <v>#DIV/0!</v>
      </c>
      <c r="DD72" s="82" t="e">
        <f>DE63*DC72*0.227</f>
        <v>#N/A</v>
      </c>
      <c r="DG72" s="24"/>
      <c r="DH72" s="24"/>
      <c r="DI72" s="24"/>
      <c r="DJ72" s="81" t="e">
        <f>($O$30*0.85)*DM63*0.227</f>
        <v>#DIV/0!</v>
      </c>
      <c r="DK72" s="66" t="e">
        <f>$K$56*$L$56</f>
        <v>#DIV/0!</v>
      </c>
      <c r="DL72" s="82" t="e">
        <f>DM63*DK72*0.227</f>
        <v>#N/A</v>
      </c>
      <c r="DO72" s="24"/>
      <c r="DP72" s="24"/>
      <c r="DQ72" s="24"/>
      <c r="DR72" s="81" t="e">
        <f>($O$30*0.85)*DU63*0.227</f>
        <v>#DIV/0!</v>
      </c>
      <c r="DS72" s="66" t="e">
        <f>$K$56*$L$56</f>
        <v>#DIV/0!</v>
      </c>
      <c r="DT72" s="82" t="e">
        <f>DU63*DS72*0.227</f>
        <v>#N/A</v>
      </c>
      <c r="DW72" s="24"/>
      <c r="DX72" s="24"/>
      <c r="DY72" s="24"/>
      <c r="DZ72" s="81" t="e">
        <f>($O$30*0.85)*EC63*0.227</f>
        <v>#DIV/0!</v>
      </c>
      <c r="EA72" s="66" t="e">
        <f>$K$56*$L$56</f>
        <v>#DIV/0!</v>
      </c>
      <c r="EB72" s="82" t="e">
        <f>EC63*EA72*0.227</f>
        <v>#N/A</v>
      </c>
      <c r="EE72" s="24"/>
      <c r="EF72" s="24"/>
      <c r="EG72" s="24"/>
      <c r="EH72" s="81" t="e">
        <f>($O$30*0.85)*EK63*0.227</f>
        <v>#DIV/0!</v>
      </c>
      <c r="EI72" s="66" t="e">
        <f>$K$56*$L$56</f>
        <v>#DIV/0!</v>
      </c>
      <c r="EJ72" s="82" t="e">
        <f>EK63*EI72*0.227</f>
        <v>#N/A</v>
      </c>
      <c r="EM72" s="24"/>
      <c r="EN72" s="24"/>
      <c r="EO72" s="24"/>
      <c r="EP72" s="81" t="e">
        <f>($O$30*0.85)*ES63*0.227</f>
        <v>#DIV/0!</v>
      </c>
      <c r="EQ72" s="66" t="e">
        <f>$K$56*$L$56</f>
        <v>#DIV/0!</v>
      </c>
      <c r="ER72" s="82" t="e">
        <f>ES63*EQ72*0.227</f>
        <v>#N/A</v>
      </c>
      <c r="EU72" s="24"/>
      <c r="EV72" s="24"/>
      <c r="EW72" s="24"/>
      <c r="EX72" s="81" t="e">
        <f>($O$30*0.85)*FA63*0.227</f>
        <v>#DIV/0!</v>
      </c>
      <c r="EY72" s="66" t="e">
        <f>$K$56*$L$56</f>
        <v>#DIV/0!</v>
      </c>
      <c r="EZ72" s="82" t="e">
        <f>FA63*EY72*0.227</f>
        <v>#N/A</v>
      </c>
      <c r="FC72" s="24"/>
      <c r="FD72" s="24"/>
      <c r="FE72" s="24"/>
      <c r="FF72" s="81" t="e">
        <f>($O$30*0.85)*FI63*0.227</f>
        <v>#DIV/0!</v>
      </c>
      <c r="FG72" s="66" t="e">
        <f>$K$56*$L$56</f>
        <v>#DIV/0!</v>
      </c>
      <c r="FH72" s="82" t="e">
        <f>FI63*FG72*0.227</f>
        <v>#N/A</v>
      </c>
      <c r="FK72" s="24"/>
      <c r="FL72" s="24"/>
      <c r="FM72" s="24"/>
      <c r="FN72" s="81" t="e">
        <f>($O$30*0.85)*FQ63*0.227</f>
        <v>#DIV/0!</v>
      </c>
      <c r="FO72" s="66" t="e">
        <f>$K$56*$L$56</f>
        <v>#DIV/0!</v>
      </c>
      <c r="FP72" s="82" t="e">
        <f>FQ63*FO72*0.227</f>
        <v>#N/A</v>
      </c>
      <c r="FS72" s="24"/>
      <c r="FT72" s="24"/>
      <c r="FU72" s="24"/>
      <c r="FV72" s="81" t="e">
        <f>($O$30*0.85)*FY63*0.227</f>
        <v>#DIV/0!</v>
      </c>
      <c r="FW72" s="66" t="e">
        <f>$K$56*$L$56</f>
        <v>#DIV/0!</v>
      </c>
      <c r="FX72" s="82" t="e">
        <f>FY63*FW72*0.227</f>
        <v>#N/A</v>
      </c>
      <c r="GA72" s="24"/>
      <c r="GB72" s="24"/>
      <c r="GC72" s="24"/>
      <c r="GD72" s="81" t="e">
        <f>($O$30*0.85)*GG63*0.227</f>
        <v>#DIV/0!</v>
      </c>
      <c r="GE72" s="66" t="e">
        <f>$K$56*$L$56</f>
        <v>#DIV/0!</v>
      </c>
      <c r="GF72" s="82" t="e">
        <f>GG63*GE72*0.227</f>
        <v>#N/A</v>
      </c>
      <c r="GI72" s="24"/>
      <c r="GJ72" s="24"/>
      <c r="GK72" s="24"/>
      <c r="GL72" s="81" t="e">
        <f>($O$30*0.85)*GO63*0.227</f>
        <v>#DIV/0!</v>
      </c>
      <c r="GM72" s="66" t="e">
        <f>$K$56*$L$56</f>
        <v>#DIV/0!</v>
      </c>
      <c r="GN72" s="82" t="e">
        <f>GO63*GM72*0.227</f>
        <v>#N/A</v>
      </c>
    </row>
    <row r="73" spans="1:195" ht="14.25">
      <c r="A73" s="147" t="s">
        <v>7</v>
      </c>
      <c r="B73" s="2"/>
      <c r="C73" s="2"/>
      <c r="D73" s="11" t="s">
        <v>24</v>
      </c>
      <c r="E73" s="241">
        <f>D10</f>
        <v>0</v>
      </c>
      <c r="F73" s="12" t="s">
        <v>10</v>
      </c>
      <c r="G73" s="14"/>
      <c r="H73" s="2"/>
      <c r="I73" s="2"/>
      <c r="K73" s="45">
        <v>4</v>
      </c>
      <c r="L73" s="45" t="s">
        <v>171</v>
      </c>
      <c r="M73" s="45">
        <v>1.01</v>
      </c>
      <c r="N73" s="95" t="e">
        <f>$N$70*M73</f>
        <v>#DIV/0!</v>
      </c>
      <c r="O73" s="95" t="e">
        <f>$O$70*M73</f>
        <v>#N/A</v>
      </c>
      <c r="P73" s="103">
        <v>1</v>
      </c>
      <c r="Q73" s="103" t="s">
        <v>172</v>
      </c>
      <c r="R73" s="103">
        <v>0.26</v>
      </c>
      <c r="S73" s="103"/>
      <c r="T73" s="110" t="s">
        <v>746</v>
      </c>
      <c r="W73" s="31"/>
      <c r="X73" s="31"/>
      <c r="Y73" s="24"/>
      <c r="Z73" s="31" t="e">
        <f>Z72</f>
        <v>#DIV/0!</v>
      </c>
      <c r="AA73" s="24"/>
      <c r="AE73" s="31"/>
      <c r="AF73" s="31"/>
      <c r="AG73" s="24"/>
      <c r="AH73" s="31" t="e">
        <f>Z73+AH72</f>
        <v>#DIV/0!</v>
      </c>
      <c r="AI73" s="24"/>
      <c r="AM73" s="31"/>
      <c r="AN73" s="31"/>
      <c r="AO73" s="24"/>
      <c r="AP73" s="31" t="e">
        <f>AH73+AP72</f>
        <v>#DIV/0!</v>
      </c>
      <c r="AQ73" s="24"/>
      <c r="AU73" s="31"/>
      <c r="AV73" s="31"/>
      <c r="AW73" s="24"/>
      <c r="AX73" s="31" t="e">
        <f>AP73+AX72</f>
        <v>#DIV/0!</v>
      </c>
      <c r="AY73" s="24"/>
      <c r="BC73" s="31"/>
      <c r="BD73" s="31"/>
      <c r="BE73" s="24"/>
      <c r="BF73" s="31" t="e">
        <f>AX73+BF72</f>
        <v>#DIV/0!</v>
      </c>
      <c r="BG73" s="24"/>
      <c r="BK73" s="31"/>
      <c r="BL73" s="31"/>
      <c r="BM73" s="24"/>
      <c r="BN73" s="31" t="e">
        <f>BF73+BN72</f>
        <v>#DIV/0!</v>
      </c>
      <c r="BO73" s="24"/>
      <c r="BS73" s="31"/>
      <c r="BT73" s="31"/>
      <c r="BU73" s="24"/>
      <c r="BV73" s="31" t="e">
        <f>BN73+BV72</f>
        <v>#DIV/0!</v>
      </c>
      <c r="BW73" s="24"/>
      <c r="CA73" s="31"/>
      <c r="CB73" s="31"/>
      <c r="CC73" s="24"/>
      <c r="CD73" s="31" t="e">
        <f>BV73+CD72</f>
        <v>#DIV/0!</v>
      </c>
      <c r="CE73" s="24"/>
      <c r="CI73" s="31"/>
      <c r="CJ73" s="31"/>
      <c r="CK73" s="24"/>
      <c r="CL73" s="31" t="e">
        <f>CD73+CL72</f>
        <v>#DIV/0!</v>
      </c>
      <c r="CM73" s="24"/>
      <c r="CQ73" s="31"/>
      <c r="CR73" s="31"/>
      <c r="CS73" s="24"/>
      <c r="CT73" s="31" t="e">
        <f>CL73+CT72</f>
        <v>#DIV/0!</v>
      </c>
      <c r="CU73" s="24"/>
      <c r="CY73" s="31"/>
      <c r="CZ73" s="31"/>
      <c r="DA73" s="24"/>
      <c r="DB73" s="31" t="e">
        <f>CT73+DB72</f>
        <v>#DIV/0!</v>
      </c>
      <c r="DC73" s="24"/>
      <c r="DG73" s="31"/>
      <c r="DH73" s="31"/>
      <c r="DI73" s="24"/>
      <c r="DJ73" s="31" t="e">
        <f>DB73+DJ72</f>
        <v>#DIV/0!</v>
      </c>
      <c r="DK73" s="24"/>
      <c r="DO73" s="31"/>
      <c r="DP73" s="31"/>
      <c r="DQ73" s="24"/>
      <c r="DR73" s="31" t="e">
        <f>DJ73+DR72</f>
        <v>#DIV/0!</v>
      </c>
      <c r="DS73" s="24"/>
      <c r="DW73" s="31"/>
      <c r="DX73" s="31"/>
      <c r="DY73" s="24"/>
      <c r="DZ73" s="31" t="e">
        <f>DR73+DZ72</f>
        <v>#DIV/0!</v>
      </c>
      <c r="EA73" s="24"/>
      <c r="EE73" s="31"/>
      <c r="EF73" s="31"/>
      <c r="EG73" s="24"/>
      <c r="EH73" s="31" t="e">
        <f>DZ73+EH72</f>
        <v>#DIV/0!</v>
      </c>
      <c r="EI73" s="24"/>
      <c r="EM73" s="31"/>
      <c r="EN73" s="31"/>
      <c r="EO73" s="24"/>
      <c r="EP73" s="31" t="e">
        <f>EH73+EP72</f>
        <v>#DIV/0!</v>
      </c>
      <c r="EQ73" s="24"/>
      <c r="EU73" s="31"/>
      <c r="EV73" s="31"/>
      <c r="EW73" s="24"/>
      <c r="EX73" s="31" t="e">
        <f>EP73+EX72</f>
        <v>#DIV/0!</v>
      </c>
      <c r="EY73" s="24"/>
      <c r="FC73" s="31"/>
      <c r="FD73" s="31"/>
      <c r="FE73" s="24"/>
      <c r="FF73" s="31" t="e">
        <f>EX73+FF72</f>
        <v>#DIV/0!</v>
      </c>
      <c r="FG73" s="24"/>
      <c r="FK73" s="31"/>
      <c r="FL73" s="31"/>
      <c r="FM73" s="24"/>
      <c r="FN73" s="31" t="e">
        <f>FF73+FN72</f>
        <v>#DIV/0!</v>
      </c>
      <c r="FO73" s="24"/>
      <c r="FS73" s="31"/>
      <c r="FT73" s="31"/>
      <c r="FU73" s="24"/>
      <c r="FV73" s="31" t="e">
        <f>FN73+FV72</f>
        <v>#DIV/0!</v>
      </c>
      <c r="FW73" s="24"/>
      <c r="GA73" s="31"/>
      <c r="GB73" s="31"/>
      <c r="GC73" s="24"/>
      <c r="GD73" s="31" t="e">
        <f>FV73+GD72</f>
        <v>#DIV/0!</v>
      </c>
      <c r="GE73" s="24"/>
      <c r="GI73" s="31"/>
      <c r="GJ73" s="31"/>
      <c r="GK73" s="24"/>
      <c r="GL73" s="31" t="e">
        <f>GD73+GL72</f>
        <v>#DIV/0!</v>
      </c>
      <c r="GM73" s="24"/>
    </row>
    <row r="74" spans="1:197" ht="14.25">
      <c r="A74" s="2"/>
      <c r="B74" s="2"/>
      <c r="C74" s="2"/>
      <c r="D74" s="11" t="s">
        <v>23</v>
      </c>
      <c r="E74" s="241">
        <f>D11</f>
        <v>0</v>
      </c>
      <c r="F74" s="12" t="s">
        <v>10</v>
      </c>
      <c r="G74" s="14"/>
      <c r="H74" s="2"/>
      <c r="I74" s="2"/>
      <c r="K74" s="45"/>
      <c r="L74" s="45"/>
      <c r="M74" s="45"/>
      <c r="N74" s="45"/>
      <c r="O74" s="45"/>
      <c r="P74" s="103">
        <v>2</v>
      </c>
      <c r="Q74" s="103"/>
      <c r="R74" s="103">
        <v>0.13</v>
      </c>
      <c r="S74" s="103"/>
      <c r="T74" s="110" t="s">
        <v>745</v>
      </c>
      <c r="W74" s="24"/>
      <c r="X74" s="24"/>
      <c r="Y74" s="24"/>
      <c r="Z74" s="24"/>
      <c r="AA74" s="73" t="s">
        <v>91</v>
      </c>
      <c r="AB74" s="83" t="e">
        <f>AB72</f>
        <v>#N/A</v>
      </c>
      <c r="AC74" s="17" t="s">
        <v>92</v>
      </c>
      <c r="AE74" s="24"/>
      <c r="AF74" s="24"/>
      <c r="AG74" s="24"/>
      <c r="AH74" s="24"/>
      <c r="AI74" s="73" t="s">
        <v>91</v>
      </c>
      <c r="AJ74" s="83" t="e">
        <f>AB74+AJ72</f>
        <v>#N/A</v>
      </c>
      <c r="AK74" s="17" t="s">
        <v>92</v>
      </c>
      <c r="AM74" s="24"/>
      <c r="AN74" s="24"/>
      <c r="AO74" s="24"/>
      <c r="AP74" s="24"/>
      <c r="AQ74" s="73" t="s">
        <v>91</v>
      </c>
      <c r="AR74" s="83" t="e">
        <f>AJ74+AR72</f>
        <v>#N/A</v>
      </c>
      <c r="AS74" s="17" t="s">
        <v>92</v>
      </c>
      <c r="AU74" s="24"/>
      <c r="AV74" s="24"/>
      <c r="AW74" s="24"/>
      <c r="AX74" s="24"/>
      <c r="AY74" s="73" t="s">
        <v>91</v>
      </c>
      <c r="AZ74" s="83" t="e">
        <f>AR74+AZ72</f>
        <v>#N/A</v>
      </c>
      <c r="BA74" s="17" t="s">
        <v>92</v>
      </c>
      <c r="BC74" s="24"/>
      <c r="BD74" s="24"/>
      <c r="BE74" s="24"/>
      <c r="BF74" s="24"/>
      <c r="BG74" s="73" t="s">
        <v>91</v>
      </c>
      <c r="BH74" s="83" t="e">
        <f>AZ74+BH72</f>
        <v>#N/A</v>
      </c>
      <c r="BI74" s="17" t="s">
        <v>92</v>
      </c>
      <c r="BK74" s="24"/>
      <c r="BL74" s="24"/>
      <c r="BM74" s="24"/>
      <c r="BN74" s="24"/>
      <c r="BO74" s="73" t="s">
        <v>91</v>
      </c>
      <c r="BP74" s="83" t="e">
        <f>BH74+BP72</f>
        <v>#N/A</v>
      </c>
      <c r="BQ74" s="17" t="s">
        <v>92</v>
      </c>
      <c r="BS74" s="24"/>
      <c r="BT74" s="24"/>
      <c r="BU74" s="24"/>
      <c r="BV74" s="24"/>
      <c r="BW74" s="73" t="s">
        <v>91</v>
      </c>
      <c r="BX74" s="83" t="e">
        <f>BP74+BX72</f>
        <v>#N/A</v>
      </c>
      <c r="BY74" s="17" t="s">
        <v>92</v>
      </c>
      <c r="CA74" s="24"/>
      <c r="CB74" s="24"/>
      <c r="CC74" s="24"/>
      <c r="CD74" s="24"/>
      <c r="CE74" s="73" t="s">
        <v>91</v>
      </c>
      <c r="CF74" s="83" t="e">
        <f>BX74+CF72</f>
        <v>#N/A</v>
      </c>
      <c r="CG74" s="17" t="s">
        <v>92</v>
      </c>
      <c r="CI74" s="24"/>
      <c r="CJ74" s="24"/>
      <c r="CK74" s="24"/>
      <c r="CL74" s="24"/>
      <c r="CM74" s="73" t="s">
        <v>91</v>
      </c>
      <c r="CN74" s="83" t="e">
        <f>CF74+CN72</f>
        <v>#N/A</v>
      </c>
      <c r="CO74" s="17" t="s">
        <v>92</v>
      </c>
      <c r="CQ74" s="24"/>
      <c r="CR74" s="24"/>
      <c r="CS74" s="24"/>
      <c r="CT74" s="24"/>
      <c r="CU74" s="73" t="s">
        <v>91</v>
      </c>
      <c r="CV74" s="83" t="e">
        <f>CN74+CV72</f>
        <v>#N/A</v>
      </c>
      <c r="CW74" s="17" t="s">
        <v>92</v>
      </c>
      <c r="CY74" s="24"/>
      <c r="CZ74" s="24"/>
      <c r="DA74" s="24"/>
      <c r="DB74" s="24"/>
      <c r="DC74" s="73" t="s">
        <v>91</v>
      </c>
      <c r="DD74" s="83" t="e">
        <f>CV74+DD72</f>
        <v>#N/A</v>
      </c>
      <c r="DE74" s="17" t="s">
        <v>92</v>
      </c>
      <c r="DG74" s="24"/>
      <c r="DH74" s="24"/>
      <c r="DI74" s="24"/>
      <c r="DJ74" s="24"/>
      <c r="DK74" s="73" t="s">
        <v>91</v>
      </c>
      <c r="DL74" s="83" t="e">
        <f>DD74+DL72</f>
        <v>#N/A</v>
      </c>
      <c r="DM74" s="17" t="s">
        <v>92</v>
      </c>
      <c r="DO74" s="24"/>
      <c r="DP74" s="24"/>
      <c r="DQ74" s="24"/>
      <c r="DR74" s="24"/>
      <c r="DS74" s="73" t="s">
        <v>91</v>
      </c>
      <c r="DT74" s="83" t="e">
        <f>DL74+DT72</f>
        <v>#N/A</v>
      </c>
      <c r="DU74" s="17" t="s">
        <v>92</v>
      </c>
      <c r="DW74" s="24"/>
      <c r="DX74" s="24"/>
      <c r="DY74" s="24"/>
      <c r="DZ74" s="24"/>
      <c r="EA74" s="73" t="s">
        <v>91</v>
      </c>
      <c r="EB74" s="83" t="e">
        <f>DT74+EB72</f>
        <v>#N/A</v>
      </c>
      <c r="EC74" s="17" t="s">
        <v>92</v>
      </c>
      <c r="EE74" s="24"/>
      <c r="EF74" s="24"/>
      <c r="EG74" s="24"/>
      <c r="EH74" s="24"/>
      <c r="EI74" s="73" t="s">
        <v>91</v>
      </c>
      <c r="EJ74" s="83" t="e">
        <f>EB74+EJ72</f>
        <v>#N/A</v>
      </c>
      <c r="EK74" s="17" t="s">
        <v>92</v>
      </c>
      <c r="EM74" s="24"/>
      <c r="EN74" s="24"/>
      <c r="EO74" s="24"/>
      <c r="EP74" s="24"/>
      <c r="EQ74" s="73" t="s">
        <v>91</v>
      </c>
      <c r="ER74" s="83" t="e">
        <f>EJ74+ER72</f>
        <v>#N/A</v>
      </c>
      <c r="ES74" s="17" t="s">
        <v>92</v>
      </c>
      <c r="EU74" s="24"/>
      <c r="EV74" s="24"/>
      <c r="EW74" s="24"/>
      <c r="EX74" s="24"/>
      <c r="EY74" s="73" t="s">
        <v>91</v>
      </c>
      <c r="EZ74" s="83" t="e">
        <f>ER74+EZ72</f>
        <v>#N/A</v>
      </c>
      <c r="FA74" s="17" t="s">
        <v>92</v>
      </c>
      <c r="FC74" s="24"/>
      <c r="FD74" s="24"/>
      <c r="FE74" s="24"/>
      <c r="FF74" s="24"/>
      <c r="FG74" s="73" t="s">
        <v>91</v>
      </c>
      <c r="FH74" s="83" t="e">
        <f>EZ74+FH72</f>
        <v>#N/A</v>
      </c>
      <c r="FI74" s="17" t="s">
        <v>92</v>
      </c>
      <c r="FK74" s="24"/>
      <c r="FL74" s="24"/>
      <c r="FM74" s="24"/>
      <c r="FN74" s="24"/>
      <c r="FO74" s="73" t="s">
        <v>91</v>
      </c>
      <c r="FP74" s="83" t="e">
        <f>FH74+FP72</f>
        <v>#N/A</v>
      </c>
      <c r="FQ74" s="17" t="s">
        <v>92</v>
      </c>
      <c r="FS74" s="24"/>
      <c r="FT74" s="24"/>
      <c r="FU74" s="24"/>
      <c r="FV74" s="24"/>
      <c r="FW74" s="73" t="s">
        <v>91</v>
      </c>
      <c r="FX74" s="83" t="e">
        <f>FP74+FX72</f>
        <v>#N/A</v>
      </c>
      <c r="FY74" s="17" t="s">
        <v>92</v>
      </c>
      <c r="GA74" s="24"/>
      <c r="GB74" s="24"/>
      <c r="GC74" s="24"/>
      <c r="GD74" s="24"/>
      <c r="GE74" s="73" t="s">
        <v>91</v>
      </c>
      <c r="GF74" s="83" t="e">
        <f>FX74+GF72</f>
        <v>#N/A</v>
      </c>
      <c r="GG74" s="17" t="s">
        <v>92</v>
      </c>
      <c r="GI74" s="24"/>
      <c r="GJ74" s="24"/>
      <c r="GK74" s="24"/>
      <c r="GL74" s="24"/>
      <c r="GM74" s="73" t="s">
        <v>91</v>
      </c>
      <c r="GN74" s="83" t="e">
        <f>GF74+GN72</f>
        <v>#N/A</v>
      </c>
      <c r="GO74" s="17" t="s">
        <v>92</v>
      </c>
    </row>
    <row r="75" spans="1:19" ht="14.25">
      <c r="A75" s="2"/>
      <c r="B75" s="2"/>
      <c r="C75" s="2"/>
      <c r="D75" s="9" t="s">
        <v>8</v>
      </c>
      <c r="E75" s="10">
        <f>E74+E73</f>
        <v>0</v>
      </c>
      <c r="F75" s="13" t="s">
        <v>10</v>
      </c>
      <c r="G75" s="2"/>
      <c r="H75" s="2"/>
      <c r="I75" s="2"/>
      <c r="K75" s="45"/>
      <c r="L75" s="45"/>
      <c r="M75" s="45"/>
      <c r="N75" s="45"/>
      <c r="O75" s="45"/>
      <c r="P75" s="103">
        <v>3</v>
      </c>
      <c r="Q75" s="103" t="s">
        <v>173</v>
      </c>
      <c r="R75" s="103">
        <v>0.1</v>
      </c>
      <c r="S75" s="103"/>
    </row>
    <row r="76" spans="1:19" ht="14.25">
      <c r="A76" s="2"/>
      <c r="B76" s="2"/>
      <c r="C76" s="2"/>
      <c r="D76" s="9" t="s">
        <v>9</v>
      </c>
      <c r="E76" s="10">
        <f>E75^0.5</f>
        <v>0</v>
      </c>
      <c r="F76" s="2" t="s">
        <v>10</v>
      </c>
      <c r="G76" s="2"/>
      <c r="H76" s="2"/>
      <c r="I76" s="2"/>
      <c r="L76" s="44" t="s">
        <v>174</v>
      </c>
      <c r="N76" s="83" t="e">
        <f>VLOOKUP(D8,K70:O73,4)</f>
        <v>#N/A</v>
      </c>
      <c r="O76" s="83" t="e">
        <f>VLOOKUP(D8,K70:O73,5)</f>
        <v>#N/A</v>
      </c>
      <c r="P76" s="103">
        <v>4</v>
      </c>
      <c r="Q76" s="103"/>
      <c r="R76" s="103">
        <v>0.1</v>
      </c>
      <c r="S76" s="103"/>
    </row>
    <row r="77" spans="1:19" ht="15">
      <c r="A77" s="2"/>
      <c r="B77" s="12" t="s">
        <v>261</v>
      </c>
      <c r="C77" s="2"/>
      <c r="D77" s="2"/>
      <c r="E77" s="2"/>
      <c r="F77" s="2"/>
      <c r="G77" s="2"/>
      <c r="H77" s="2"/>
      <c r="I77" s="2"/>
      <c r="P77" s="103">
        <v>5</v>
      </c>
      <c r="Q77" s="103"/>
      <c r="R77" s="103">
        <v>0.2</v>
      </c>
      <c r="S77" s="103"/>
    </row>
    <row r="78" spans="1:29" ht="15">
      <c r="A78" s="2"/>
      <c r="B78" s="12" t="s">
        <v>262</v>
      </c>
      <c r="C78" s="2"/>
      <c r="D78" s="2"/>
      <c r="E78" s="2"/>
      <c r="F78" s="2"/>
      <c r="G78" s="2"/>
      <c r="H78" s="2"/>
      <c r="I78" s="2"/>
      <c r="P78" s="103">
        <v>6</v>
      </c>
      <c r="Q78" s="103" t="s">
        <v>175</v>
      </c>
      <c r="R78" s="103">
        <v>0.16</v>
      </c>
      <c r="S78" s="103"/>
      <c r="U78" s="45"/>
      <c r="V78" s="45"/>
      <c r="W78" s="45"/>
      <c r="X78" s="45"/>
      <c r="Y78" s="45"/>
      <c r="Z78" s="45"/>
      <c r="AA78" s="45"/>
      <c r="AB78" s="45"/>
      <c r="AC78" s="45"/>
    </row>
    <row r="79" spans="1:197" ht="14.25">
      <c r="A79" s="4"/>
      <c r="B79" s="4"/>
      <c r="C79" s="4"/>
      <c r="D79" s="4"/>
      <c r="E79" s="4"/>
      <c r="F79" s="4"/>
      <c r="G79" s="4"/>
      <c r="H79" s="4"/>
      <c r="I79" s="4"/>
      <c r="P79" s="103">
        <v>7</v>
      </c>
      <c r="Q79" s="103"/>
      <c r="R79" s="103">
        <v>0.55</v>
      </c>
      <c r="S79" s="103"/>
      <c r="U79" s="45"/>
      <c r="V79" s="45"/>
      <c r="W79" s="93"/>
      <c r="X79" s="45"/>
      <c r="Y79" s="45"/>
      <c r="Z79" s="45"/>
      <c r="AA79" s="45"/>
      <c r="AB79" s="45"/>
      <c r="AC79" s="45"/>
      <c r="AD79" s="45"/>
      <c r="FM79" s="17">
        <f>VLOOKUP(67,$P$73:$S$142,$R$71+1)</f>
        <v>0.35</v>
      </c>
      <c r="FN79" s="17" t="s">
        <v>17</v>
      </c>
      <c r="FP79" s="24"/>
      <c r="FQ79" s="24"/>
      <c r="FU79" s="17">
        <f>VLOOKUP(68,$P$73:$S$142,$R$71+1)</f>
        <v>0.44</v>
      </c>
      <c r="FV79" s="17" t="s">
        <v>17</v>
      </c>
      <c r="FX79" s="24"/>
      <c r="FY79" s="24"/>
      <c r="GC79" s="17">
        <f>VLOOKUP(69,$P$73:$S$142,$R$71+1)</f>
        <v>0.27</v>
      </c>
      <c r="GD79" s="17" t="s">
        <v>17</v>
      </c>
      <c r="GF79" s="24"/>
      <c r="GG79" s="24"/>
      <c r="GK79" s="17">
        <f>VLOOKUP(70,$P$73:$S$142,$R$71+1)</f>
        <v>0</v>
      </c>
      <c r="GL79" s="17" t="s">
        <v>17</v>
      </c>
      <c r="GN79" s="24"/>
      <c r="GO79" s="24"/>
    </row>
    <row r="80" spans="1:197" ht="14.25">
      <c r="A80" s="2" t="s">
        <v>11</v>
      </c>
      <c r="B80" s="2"/>
      <c r="C80" s="2"/>
      <c r="D80" s="2"/>
      <c r="E80" s="114" t="s">
        <v>227</v>
      </c>
      <c r="F80" s="2"/>
      <c r="G80" s="2"/>
      <c r="H80" s="2"/>
      <c r="I80" s="2"/>
      <c r="N80" s="44"/>
      <c r="O80" s="44"/>
      <c r="P80" s="103">
        <v>8</v>
      </c>
      <c r="Q80" s="103"/>
      <c r="R80" s="103">
        <v>0.64</v>
      </c>
      <c r="S80" s="103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FK80" s="40"/>
      <c r="FL80" s="41" t="s">
        <v>42</v>
      </c>
      <c r="FM80" s="41" t="s">
        <v>43</v>
      </c>
      <c r="FN80" s="42" t="s">
        <v>0</v>
      </c>
      <c r="FO80" s="42" t="s">
        <v>44</v>
      </c>
      <c r="FP80" s="41" t="s">
        <v>45</v>
      </c>
      <c r="FQ80" s="43" t="s">
        <v>46</v>
      </c>
      <c r="FS80" s="40"/>
      <c r="FT80" s="41" t="s">
        <v>42</v>
      </c>
      <c r="FU80" s="41" t="s">
        <v>43</v>
      </c>
      <c r="FV80" s="42" t="s">
        <v>0</v>
      </c>
      <c r="FW80" s="42" t="s">
        <v>44</v>
      </c>
      <c r="FX80" s="41" t="s">
        <v>45</v>
      </c>
      <c r="FY80" s="43" t="s">
        <v>46</v>
      </c>
      <c r="GA80" s="40"/>
      <c r="GB80" s="41" t="s">
        <v>42</v>
      </c>
      <c r="GC80" s="41" t="s">
        <v>43</v>
      </c>
      <c r="GD80" s="42" t="s">
        <v>0</v>
      </c>
      <c r="GE80" s="42" t="s">
        <v>44</v>
      </c>
      <c r="GF80" s="41" t="s">
        <v>45</v>
      </c>
      <c r="GG80" s="43" t="s">
        <v>46</v>
      </c>
      <c r="GI80" s="40"/>
      <c r="GJ80" s="41" t="s">
        <v>42</v>
      </c>
      <c r="GK80" s="41" t="s">
        <v>43</v>
      </c>
      <c r="GL80" s="42" t="s">
        <v>0</v>
      </c>
      <c r="GM80" s="42" t="s">
        <v>44</v>
      </c>
      <c r="GN80" s="41" t="s">
        <v>45</v>
      </c>
      <c r="GO80" s="43" t="s">
        <v>46</v>
      </c>
    </row>
    <row r="81" spans="1:197" ht="14.25">
      <c r="A81" s="2"/>
      <c r="B81" s="2"/>
      <c r="C81" s="2"/>
      <c r="D81" s="11" t="s">
        <v>18</v>
      </c>
      <c r="E81" s="10">
        <f>D11*1</f>
        <v>0</v>
      </c>
      <c r="F81" s="2" t="s">
        <v>10</v>
      </c>
      <c r="G81" s="2"/>
      <c r="H81" s="2"/>
      <c r="I81" s="2"/>
      <c r="P81" s="103">
        <v>9</v>
      </c>
      <c r="Q81" s="103"/>
      <c r="R81" s="103">
        <v>0.1</v>
      </c>
      <c r="S81" s="103"/>
      <c r="U81" s="45"/>
      <c r="V81" s="145"/>
      <c r="W81" s="45"/>
      <c r="X81" s="45"/>
      <c r="Y81" s="45"/>
      <c r="Z81" s="45"/>
      <c r="AA81" s="45"/>
      <c r="AB81" s="45"/>
      <c r="AC81" s="45"/>
      <c r="AD81" s="45"/>
      <c r="FK81" s="51" t="s">
        <v>50</v>
      </c>
      <c r="FL81" s="24">
        <f>$E$12</f>
        <v>0</v>
      </c>
      <c r="FM81" s="52">
        <f>FL81/43560</f>
        <v>0</v>
      </c>
      <c r="FN81" s="53" t="e">
        <f>$O$4</f>
        <v>#N/A</v>
      </c>
      <c r="FO81" s="31" t="e">
        <f>(1000/FN81)-10</f>
        <v>#N/A</v>
      </c>
      <c r="FP81" s="31" t="e">
        <f>(FM79-0.2*FO81)^2/(FM79+0.8*FO81)</f>
        <v>#N/A</v>
      </c>
      <c r="FQ81" s="54" t="e">
        <f>IF(FM79&gt;0,FP81*FM81,0)</f>
        <v>#N/A</v>
      </c>
      <c r="FS81" s="51" t="s">
        <v>50</v>
      </c>
      <c r="FT81" s="24">
        <f>$E$12</f>
        <v>0</v>
      </c>
      <c r="FU81" s="52">
        <f>FT81/43560</f>
        <v>0</v>
      </c>
      <c r="FV81" s="53" t="e">
        <f>$O$4</f>
        <v>#N/A</v>
      </c>
      <c r="FW81" s="31" t="e">
        <f>(1000/FV81)-10</f>
        <v>#N/A</v>
      </c>
      <c r="FX81" s="31" t="e">
        <f>(FU79-0.2*FW81)^2/(FU79+0.8*FW81)</f>
        <v>#N/A</v>
      </c>
      <c r="FY81" s="54" t="e">
        <f>IF(FU79&gt;0,FX81*FU81,0)</f>
        <v>#N/A</v>
      </c>
      <c r="GA81" s="51" t="s">
        <v>50</v>
      </c>
      <c r="GB81" s="24">
        <f>$E$12</f>
        <v>0</v>
      </c>
      <c r="GC81" s="52">
        <f>GB81/43560</f>
        <v>0</v>
      </c>
      <c r="GD81" s="53" t="e">
        <f>$O$4</f>
        <v>#N/A</v>
      </c>
      <c r="GE81" s="31" t="e">
        <f>(1000/GD81)-10</f>
        <v>#N/A</v>
      </c>
      <c r="GF81" s="31" t="e">
        <f>(GC79-0.2*GE81)^2/(GC79+0.8*GE81)</f>
        <v>#N/A</v>
      </c>
      <c r="GG81" s="54" t="e">
        <f>IF(GC79&gt;0,GF81*GC81,0)</f>
        <v>#N/A</v>
      </c>
      <c r="GI81" s="51" t="s">
        <v>50</v>
      </c>
      <c r="GJ81" s="24">
        <f>$E$12</f>
        <v>0</v>
      </c>
      <c r="GK81" s="52">
        <f>GJ81/43560</f>
        <v>0</v>
      </c>
      <c r="GL81" s="53" t="e">
        <f>$O$4</f>
        <v>#N/A</v>
      </c>
      <c r="GM81" s="31" t="e">
        <f>(1000/GL81)-10</f>
        <v>#N/A</v>
      </c>
      <c r="GN81" s="31" t="e">
        <f>(GK79-0.2*GM81)^2/(GK79+0.8*GM81)</f>
        <v>#N/A</v>
      </c>
      <c r="GO81" s="54">
        <f>IF(GK79&gt;0,GN81*GK81,0)</f>
        <v>0</v>
      </c>
    </row>
    <row r="82" spans="1:197" ht="14.25">
      <c r="A82" s="2"/>
      <c r="B82" s="2"/>
      <c r="C82" s="2"/>
      <c r="D82" s="11" t="s">
        <v>19</v>
      </c>
      <c r="E82" s="113">
        <f>D10*1.5</f>
        <v>0</v>
      </c>
      <c r="F82" s="2" t="s">
        <v>10</v>
      </c>
      <c r="G82" s="2"/>
      <c r="H82" s="2"/>
      <c r="I82" s="2"/>
      <c r="P82" s="103">
        <v>10</v>
      </c>
      <c r="Q82" s="103"/>
      <c r="R82" s="103">
        <v>1.02</v>
      </c>
      <c r="S82" s="103"/>
      <c r="U82" s="45"/>
      <c r="V82" s="145"/>
      <c r="W82" s="45"/>
      <c r="X82" s="45"/>
      <c r="Y82" s="45"/>
      <c r="Z82" s="45"/>
      <c r="AA82" s="45"/>
      <c r="AB82" s="45"/>
      <c r="AC82" s="45"/>
      <c r="AD82" s="45"/>
      <c r="FK82" s="51"/>
      <c r="FL82" s="24"/>
      <c r="FM82" s="24"/>
      <c r="FN82" s="24"/>
      <c r="FO82" s="24"/>
      <c r="FP82" s="24"/>
      <c r="FQ82" s="56"/>
      <c r="FS82" s="51"/>
      <c r="FT82" s="24"/>
      <c r="FU82" s="24"/>
      <c r="FV82" s="24"/>
      <c r="FW82" s="24"/>
      <c r="FX82" s="24"/>
      <c r="FY82" s="56"/>
      <c r="GA82" s="51"/>
      <c r="GB82" s="24"/>
      <c r="GC82" s="24"/>
      <c r="GD82" s="24"/>
      <c r="GE82" s="24"/>
      <c r="GF82" s="24"/>
      <c r="GG82" s="56"/>
      <c r="GI82" s="51"/>
      <c r="GJ82" s="24"/>
      <c r="GK82" s="24"/>
      <c r="GL82" s="24"/>
      <c r="GM82" s="24"/>
      <c r="GN82" s="24"/>
      <c r="GO82" s="56"/>
    </row>
    <row r="83" spans="1:197" ht="14.25">
      <c r="A83" s="2"/>
      <c r="B83" s="2"/>
      <c r="C83" s="2"/>
      <c r="D83" s="9" t="s">
        <v>12</v>
      </c>
      <c r="E83" s="246">
        <f>E81+E82</f>
        <v>0</v>
      </c>
      <c r="F83" s="2" t="s">
        <v>10</v>
      </c>
      <c r="G83" s="8" t="s">
        <v>13</v>
      </c>
      <c r="H83" s="2"/>
      <c r="I83" s="2"/>
      <c r="P83" s="103">
        <v>11</v>
      </c>
      <c r="Q83" s="103"/>
      <c r="R83" s="103">
        <v>0.62</v>
      </c>
      <c r="S83" s="103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FK83" s="51" t="s">
        <v>53</v>
      </c>
      <c r="FL83" s="24"/>
      <c r="FM83" s="24"/>
      <c r="FN83" s="24"/>
      <c r="FO83" s="24"/>
      <c r="FP83" s="24"/>
      <c r="FQ83" s="56"/>
      <c r="FS83" s="51" t="s">
        <v>53</v>
      </c>
      <c r="FT83" s="24"/>
      <c r="FU83" s="24"/>
      <c r="FV83" s="24"/>
      <c r="FW83" s="24"/>
      <c r="FX83" s="24"/>
      <c r="FY83" s="56"/>
      <c r="GA83" s="51" t="s">
        <v>53</v>
      </c>
      <c r="GB83" s="24"/>
      <c r="GC83" s="24"/>
      <c r="GD83" s="24"/>
      <c r="GE83" s="24"/>
      <c r="GF83" s="24"/>
      <c r="GG83" s="56"/>
      <c r="GI83" s="51" t="s">
        <v>53</v>
      </c>
      <c r="GJ83" s="24"/>
      <c r="GK83" s="24"/>
      <c r="GL83" s="24"/>
      <c r="GM83" s="24"/>
      <c r="GN83" s="24"/>
      <c r="GO83" s="56"/>
    </row>
    <row r="84" spans="1:197" ht="14.25">
      <c r="A84" s="2"/>
      <c r="B84" s="2"/>
      <c r="C84" s="2"/>
      <c r="D84" s="2"/>
      <c r="E84" s="2"/>
      <c r="F84" s="2"/>
      <c r="G84" s="2"/>
      <c r="H84" s="2"/>
      <c r="I84" s="2"/>
      <c r="P84" s="103">
        <v>12</v>
      </c>
      <c r="Q84" s="103"/>
      <c r="R84" s="103">
        <v>0.13</v>
      </c>
      <c r="S84" s="103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FK84" s="51">
        <v>1</v>
      </c>
      <c r="FL84" s="24">
        <f>$D$24</f>
        <v>0</v>
      </c>
      <c r="FM84" s="52">
        <f>FL84/43560</f>
        <v>0</v>
      </c>
      <c r="FN84" s="24">
        <f>IF($D$25&lt;60,60,$D$25)</f>
        <v>60</v>
      </c>
      <c r="FO84" s="31">
        <f>(1000/FN84)-10</f>
        <v>6.666666666666668</v>
      </c>
      <c r="FP84" s="58">
        <f>IF(FM79-(0.2*FO84)&gt;0,(FM79-0.2*FO84)^2/(FM79+0.8*FO84),0)</f>
        <v>0</v>
      </c>
      <c r="FQ84" s="54">
        <f>IF(FM79&gt;0,FP84*FM84,0)</f>
        <v>0</v>
      </c>
      <c r="FS84" s="51">
        <v>1</v>
      </c>
      <c r="FT84" s="24">
        <f>$D$24</f>
        <v>0</v>
      </c>
      <c r="FU84" s="52">
        <f>FT84/43560</f>
        <v>0</v>
      </c>
      <c r="FV84" s="24">
        <f>IF($D$25&lt;60,60,$D$25)</f>
        <v>60</v>
      </c>
      <c r="FW84" s="31">
        <f>(1000/FV84)-10</f>
        <v>6.666666666666668</v>
      </c>
      <c r="FX84" s="58">
        <f>IF(FU79-(0.2*FW84)&gt;0,(FU79-0.2*FW84)^2/(FU79+0.8*FW84),0)</f>
        <v>0</v>
      </c>
      <c r="FY84" s="54">
        <f>IF(FU79&gt;0,FX84*FU84,0)</f>
        <v>0</v>
      </c>
      <c r="GA84" s="51">
        <v>1</v>
      </c>
      <c r="GB84" s="24">
        <f>$D$24</f>
        <v>0</v>
      </c>
      <c r="GC84" s="52">
        <f>GB84/43560</f>
        <v>0</v>
      </c>
      <c r="GD84" s="24">
        <f>IF($D$25&lt;60,60,$D$25)</f>
        <v>60</v>
      </c>
      <c r="GE84" s="31">
        <f>(1000/GD84)-10</f>
        <v>6.666666666666668</v>
      </c>
      <c r="GF84" s="58">
        <f>IF(GC79-(0.2*GE84)&gt;0,(GC79-0.2*GE84)^2/(GC79+0.8*GE84),0)</f>
        <v>0</v>
      </c>
      <c r="GG84" s="54">
        <f>IF(GC79&gt;0,GF84*GC84,0)</f>
        <v>0</v>
      </c>
      <c r="GI84" s="51">
        <v>1</v>
      </c>
      <c r="GJ84" s="24">
        <f>$D$24</f>
        <v>0</v>
      </c>
      <c r="GK84" s="52">
        <f>GJ84/43560</f>
        <v>0</v>
      </c>
      <c r="GL84" s="24">
        <f>IF($D$25&lt;60,60,$D$25)</f>
        <v>60</v>
      </c>
      <c r="GM84" s="31">
        <f>(1000/GL84)-10</f>
        <v>6.666666666666668</v>
      </c>
      <c r="GN84" s="58">
        <f>IF(GK79-(0.2*GM84)&gt;0,(GK79-0.2*GM84)^2/(GK79+0.8*GM84),0)</f>
        <v>0</v>
      </c>
      <c r="GO84" s="54">
        <f>IF(GK79&gt;0,GN84*GK84,0)</f>
        <v>0</v>
      </c>
    </row>
    <row r="85" spans="16:197" ht="14.25">
      <c r="P85" s="103">
        <v>13</v>
      </c>
      <c r="Q85" s="103" t="s">
        <v>176</v>
      </c>
      <c r="R85" s="103">
        <v>0.17</v>
      </c>
      <c r="S85" s="103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FK85" s="51">
        <v>2</v>
      </c>
      <c r="FL85" s="24">
        <f>$F$24</f>
        <v>0</v>
      </c>
      <c r="FM85" s="52">
        <f>FL85/43560</f>
        <v>0</v>
      </c>
      <c r="FN85" s="24">
        <f>IF($F$25&lt;60,60,$F$25)</f>
        <v>60</v>
      </c>
      <c r="FO85" s="31">
        <f>(1000/FN85)-10</f>
        <v>6.666666666666668</v>
      </c>
      <c r="FP85" s="58">
        <f>IF(FM79-(0.2*FO85)&gt;0,(FM79-0.2*FO85)^2/(FM79+0.8*FO85),0)</f>
        <v>0</v>
      </c>
      <c r="FQ85" s="54">
        <f>IF(FM79&gt;0,FP85*FM85,0)</f>
        <v>0</v>
      </c>
      <c r="FS85" s="51">
        <v>2</v>
      </c>
      <c r="FT85" s="24">
        <f>$F$24</f>
        <v>0</v>
      </c>
      <c r="FU85" s="52">
        <f>FT85/43560</f>
        <v>0</v>
      </c>
      <c r="FV85" s="24">
        <f>IF($F$25&lt;60,60,$F$25)</f>
        <v>60</v>
      </c>
      <c r="FW85" s="31">
        <f>(1000/FV85)-10</f>
        <v>6.666666666666668</v>
      </c>
      <c r="FX85" s="58">
        <f>IF(FU79-(0.2*FW85)&gt;0,(FU79-0.2*FW85)^2/(FU79+0.8*FW85),0)</f>
        <v>0</v>
      </c>
      <c r="FY85" s="54">
        <f>IF(FU79&gt;0,FX85*FU85,0)</f>
        <v>0</v>
      </c>
      <c r="GA85" s="51">
        <v>2</v>
      </c>
      <c r="GB85" s="24">
        <f>$F$24</f>
        <v>0</v>
      </c>
      <c r="GC85" s="52">
        <f>GB85/43560</f>
        <v>0</v>
      </c>
      <c r="GD85" s="24">
        <f>IF($F$25&lt;60,60,$F$25)</f>
        <v>60</v>
      </c>
      <c r="GE85" s="31">
        <f>(1000/GD85)-10</f>
        <v>6.666666666666668</v>
      </c>
      <c r="GF85" s="58">
        <f>IF(GC79-(0.2*GE85)&gt;0,(GC79-0.2*GE85)^2/(GC79+0.8*GE85),0)</f>
        <v>0</v>
      </c>
      <c r="GG85" s="54">
        <f>IF(GC79&gt;0,GF85*GC85,0)</f>
        <v>0</v>
      </c>
      <c r="GI85" s="51">
        <v>2</v>
      </c>
      <c r="GJ85" s="24">
        <f>$F$24</f>
        <v>0</v>
      </c>
      <c r="GK85" s="52">
        <f>GJ85/43560</f>
        <v>0</v>
      </c>
      <c r="GL85" s="24">
        <f>IF($F$25&lt;60,60,$F$25)</f>
        <v>60</v>
      </c>
      <c r="GM85" s="31">
        <f>(1000/GL85)-10</f>
        <v>6.666666666666668</v>
      </c>
      <c r="GN85" s="58">
        <f>IF(GK79-(0.2*GM85)&gt;0,(GK79-0.2*GM85)^2/(GK79+0.8*GM85),0)</f>
        <v>0</v>
      </c>
      <c r="GO85" s="54">
        <f>IF(GK79&gt;0,GN85*GK85,0)</f>
        <v>0</v>
      </c>
    </row>
    <row r="86" spans="1:197" ht="14.25">
      <c r="A86" s="243" t="s">
        <v>286</v>
      </c>
      <c r="B86" s="244"/>
      <c r="C86" s="244"/>
      <c r="D86" s="244"/>
      <c r="E86" s="244"/>
      <c r="F86" s="244"/>
      <c r="G86" s="244"/>
      <c r="H86" s="244"/>
      <c r="I86" s="245"/>
      <c r="P86" s="103">
        <v>14</v>
      </c>
      <c r="Q86" s="103"/>
      <c r="R86" s="103">
        <v>0.1</v>
      </c>
      <c r="S86" s="103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FK86" s="63" t="s">
        <v>58</v>
      </c>
      <c r="FL86" s="64">
        <f>$D$27</f>
        <v>0</v>
      </c>
      <c r="FM86" s="65">
        <f>FL86/43560</f>
        <v>0</v>
      </c>
      <c r="FN86" s="64">
        <v>98</v>
      </c>
      <c r="FO86" s="66">
        <f>(1000/FN86)-10</f>
        <v>0.204081632653061</v>
      </c>
      <c r="FP86" s="66">
        <f>(FM79-0.2*FO86)^2/(FM79+0.8*FO86)</f>
        <v>0.18624781920720587</v>
      </c>
      <c r="FQ86" s="67">
        <f>IF(FM79&gt;0,FP86*FM86,0)</f>
        <v>0</v>
      </c>
      <c r="FS86" s="63" t="s">
        <v>58</v>
      </c>
      <c r="FT86" s="64">
        <f>$D$27</f>
        <v>0</v>
      </c>
      <c r="FU86" s="65">
        <f>FT86/43560</f>
        <v>0</v>
      </c>
      <c r="FV86" s="64">
        <v>98</v>
      </c>
      <c r="FW86" s="66">
        <f>(1000/FV86)-10</f>
        <v>0.204081632653061</v>
      </c>
      <c r="FX86" s="66">
        <f>(FU79-0.2*FW86)^2/(FU79+0.8*FW86)</f>
        <v>0.26414183535389807</v>
      </c>
      <c r="FY86" s="67">
        <f>IF(FU79&gt;0,FX86*FU86,0)</f>
        <v>0</v>
      </c>
      <c r="GA86" s="63" t="s">
        <v>58</v>
      </c>
      <c r="GB86" s="64">
        <f>$D$27</f>
        <v>0</v>
      </c>
      <c r="GC86" s="65">
        <f>GB86/43560</f>
        <v>0</v>
      </c>
      <c r="GD86" s="64">
        <v>98</v>
      </c>
      <c r="GE86" s="66">
        <f>(1000/GD86)-10</f>
        <v>0.204081632653061</v>
      </c>
      <c r="GF86" s="66">
        <f>(GC79-0.2*GE86)^2/(GC79+0.8*GE86)</f>
        <v>0.12123093043152268</v>
      </c>
      <c r="GG86" s="67">
        <f>IF(GC79&gt;0,GF86*GC86,0)</f>
        <v>0</v>
      </c>
      <c r="GI86" s="63" t="s">
        <v>58</v>
      </c>
      <c r="GJ86" s="64">
        <f>$D$27</f>
        <v>0</v>
      </c>
      <c r="GK86" s="65">
        <f>GJ86/43560</f>
        <v>0</v>
      </c>
      <c r="GL86" s="64">
        <v>98</v>
      </c>
      <c r="GM86" s="66">
        <f>(1000/GL86)-10</f>
        <v>0.204081632653061</v>
      </c>
      <c r="GN86" s="66">
        <f>(GK79-0.2*GM86)^2/(GK79+0.8*GM86)</f>
        <v>0.010204081632653052</v>
      </c>
      <c r="GO86" s="67">
        <f>IF(GK79&gt;0,GN86*GK86,0)</f>
        <v>0</v>
      </c>
    </row>
    <row r="87" spans="1:197" ht="14.25">
      <c r="A87" s="242" t="s">
        <v>287</v>
      </c>
      <c r="B87" s="87"/>
      <c r="C87" s="87"/>
      <c r="D87" s="87"/>
      <c r="E87" s="87"/>
      <c r="F87" s="87"/>
      <c r="G87" s="87"/>
      <c r="H87" s="87"/>
      <c r="I87" s="168"/>
      <c r="P87" s="103">
        <v>15</v>
      </c>
      <c r="Q87" s="103"/>
      <c r="R87" s="103">
        <v>0.1</v>
      </c>
      <c r="S87" s="103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FP87" s="17" t="s">
        <v>59</v>
      </c>
      <c r="FQ87" s="69" t="e">
        <f>SUM(FQ81:FQ86)</f>
        <v>#N/A</v>
      </c>
      <c r="FX87" s="17" t="s">
        <v>59</v>
      </c>
      <c r="FY87" s="69" t="e">
        <f>SUM(FY81:FY86)</f>
        <v>#N/A</v>
      </c>
      <c r="GF87" s="17" t="s">
        <v>59</v>
      </c>
      <c r="GG87" s="69" t="e">
        <f>SUM(GG81:GG86)</f>
        <v>#N/A</v>
      </c>
      <c r="GN87" s="17" t="s">
        <v>59</v>
      </c>
      <c r="GO87" s="69">
        <f>SUM(GO81:GO86)</f>
        <v>0</v>
      </c>
    </row>
    <row r="88" spans="1:195" ht="14.25">
      <c r="A88" s="167"/>
      <c r="B88" s="87"/>
      <c r="C88" s="133" t="s">
        <v>270</v>
      </c>
      <c r="D88" s="115"/>
      <c r="E88" s="125" t="s">
        <v>271</v>
      </c>
      <c r="F88" s="87"/>
      <c r="G88" s="87"/>
      <c r="H88" s="87"/>
      <c r="I88" s="168"/>
      <c r="P88" s="103">
        <v>16</v>
      </c>
      <c r="Q88" s="103"/>
      <c r="R88" s="103">
        <v>0.12</v>
      </c>
      <c r="S88" s="103"/>
      <c r="FK88" s="24"/>
      <c r="FL88" s="24"/>
      <c r="FM88" s="24"/>
      <c r="FN88" s="24"/>
      <c r="FO88" s="24"/>
      <c r="FS88" s="24"/>
      <c r="FT88" s="24"/>
      <c r="FU88" s="24"/>
      <c r="FV88" s="24"/>
      <c r="FW88" s="24"/>
      <c r="GA88" s="24"/>
      <c r="GB88" s="24"/>
      <c r="GC88" s="24"/>
      <c r="GD88" s="24"/>
      <c r="GE88" s="24"/>
      <c r="GI88" s="24"/>
      <c r="GJ88" s="24"/>
      <c r="GK88" s="24"/>
      <c r="GL88" s="24"/>
      <c r="GM88" s="24"/>
    </row>
    <row r="89" spans="1:196" ht="14.25">
      <c r="A89" s="167"/>
      <c r="B89" s="87"/>
      <c r="C89" s="126" t="s">
        <v>119</v>
      </c>
      <c r="D89" s="115"/>
      <c r="E89" s="125" t="s">
        <v>266</v>
      </c>
      <c r="F89" s="87"/>
      <c r="G89" s="87"/>
      <c r="H89" s="87"/>
      <c r="I89" s="168"/>
      <c r="P89" s="103">
        <v>17</v>
      </c>
      <c r="Q89" s="103"/>
      <c r="R89" s="103">
        <v>0.24</v>
      </c>
      <c r="S89" s="103"/>
      <c r="FK89" s="24"/>
      <c r="FL89" s="24"/>
      <c r="FM89" s="24"/>
      <c r="FN89" s="64"/>
      <c r="FO89" s="64"/>
      <c r="FP89" s="64"/>
      <c r="FS89" s="24"/>
      <c r="FT89" s="24"/>
      <c r="FU89" s="24"/>
      <c r="FV89" s="64"/>
      <c r="FW89" s="64"/>
      <c r="FX89" s="64"/>
      <c r="GA89" s="24"/>
      <c r="GB89" s="24"/>
      <c r="GC89" s="24"/>
      <c r="GD89" s="64"/>
      <c r="GE89" s="64"/>
      <c r="GF89" s="64"/>
      <c r="GI89" s="24"/>
      <c r="GJ89" s="24"/>
      <c r="GK89" s="24"/>
      <c r="GL89" s="64"/>
      <c r="GM89" s="64"/>
      <c r="GN89" s="64"/>
    </row>
    <row r="90" spans="1:196" ht="14.25">
      <c r="A90" s="169"/>
      <c r="B90" s="130"/>
      <c r="C90" s="131" t="s">
        <v>137</v>
      </c>
      <c r="D90" s="118"/>
      <c r="E90" s="130"/>
      <c r="F90" s="130"/>
      <c r="G90" s="130"/>
      <c r="H90" s="130"/>
      <c r="I90" s="170"/>
      <c r="P90" s="103">
        <v>18</v>
      </c>
      <c r="Q90" s="103"/>
      <c r="R90" s="103">
        <v>0.1</v>
      </c>
      <c r="S90" s="103"/>
      <c r="FK90" s="24"/>
      <c r="FL90" s="24"/>
      <c r="FM90" s="24"/>
      <c r="FN90" s="40"/>
      <c r="FO90" s="41"/>
      <c r="FP90" s="43"/>
      <c r="FS90" s="24"/>
      <c r="FT90" s="24"/>
      <c r="FU90" s="24"/>
      <c r="FV90" s="40"/>
      <c r="FW90" s="41"/>
      <c r="FX90" s="43"/>
      <c r="GA90" s="24"/>
      <c r="GB90" s="24"/>
      <c r="GC90" s="24"/>
      <c r="GD90" s="40"/>
      <c r="GE90" s="41"/>
      <c r="GF90" s="43"/>
      <c r="GI90" s="24"/>
      <c r="GJ90" s="24"/>
      <c r="GK90" s="24"/>
      <c r="GL90" s="40"/>
      <c r="GM90" s="41"/>
      <c r="GN90" s="43"/>
    </row>
    <row r="91" spans="1:196" ht="14.25">
      <c r="A91" s="220"/>
      <c r="B91" s="220"/>
      <c r="C91" s="220"/>
      <c r="D91" s="220"/>
      <c r="E91" s="222"/>
      <c r="F91" s="220"/>
      <c r="G91" s="221"/>
      <c r="H91" s="220"/>
      <c r="I91" s="220"/>
      <c r="P91" s="103">
        <v>19</v>
      </c>
      <c r="Q91" s="103"/>
      <c r="R91" s="103">
        <v>0.11</v>
      </c>
      <c r="S91" s="103"/>
      <c r="FK91" s="24"/>
      <c r="FL91" s="24"/>
      <c r="FM91" s="24"/>
      <c r="FN91" s="74" t="s">
        <v>76</v>
      </c>
      <c r="FO91" s="24"/>
      <c r="FP91" s="75" t="s">
        <v>76</v>
      </c>
      <c r="FS91" s="24"/>
      <c r="FT91" s="24"/>
      <c r="FU91" s="24"/>
      <c r="FV91" s="74" t="s">
        <v>76</v>
      </c>
      <c r="FW91" s="24"/>
      <c r="FX91" s="75" t="s">
        <v>76</v>
      </c>
      <c r="GA91" s="24"/>
      <c r="GB91" s="24"/>
      <c r="GC91" s="24"/>
      <c r="GD91" s="74" t="s">
        <v>76</v>
      </c>
      <c r="GE91" s="24"/>
      <c r="GF91" s="75" t="s">
        <v>76</v>
      </c>
      <c r="GI91" s="24"/>
      <c r="GJ91" s="24"/>
      <c r="GK91" s="24"/>
      <c r="GL91" s="74" t="s">
        <v>76</v>
      </c>
      <c r="GM91" s="24"/>
      <c r="GN91" s="75" t="s">
        <v>76</v>
      </c>
    </row>
    <row r="92" spans="16:196" ht="14.25">
      <c r="P92" s="103">
        <v>20</v>
      </c>
      <c r="Q92" s="103" t="s">
        <v>177</v>
      </c>
      <c r="R92" s="103">
        <v>1.01</v>
      </c>
      <c r="S92" s="103"/>
      <c r="FK92" s="24"/>
      <c r="FL92" s="24"/>
      <c r="FM92" s="24"/>
      <c r="FN92" s="74" t="s">
        <v>78</v>
      </c>
      <c r="FO92" s="24"/>
      <c r="FP92" s="75" t="s">
        <v>79</v>
      </c>
      <c r="FS92" s="24"/>
      <c r="FT92" s="24"/>
      <c r="FU92" s="24"/>
      <c r="FV92" s="74" t="s">
        <v>78</v>
      </c>
      <c r="FW92" s="24"/>
      <c r="FX92" s="75" t="s">
        <v>79</v>
      </c>
      <c r="GA92" s="24"/>
      <c r="GB92" s="24"/>
      <c r="GC92" s="24"/>
      <c r="GD92" s="74" t="s">
        <v>78</v>
      </c>
      <c r="GE92" s="24"/>
      <c r="GF92" s="75" t="s">
        <v>79</v>
      </c>
      <c r="GI92" s="24"/>
      <c r="GJ92" s="24"/>
      <c r="GK92" s="24"/>
      <c r="GL92" s="74" t="s">
        <v>78</v>
      </c>
      <c r="GM92" s="24"/>
      <c r="GN92" s="75" t="s">
        <v>79</v>
      </c>
    </row>
    <row r="93" spans="1:196" ht="14.25">
      <c r="A93" s="235" t="s">
        <v>14</v>
      </c>
      <c r="B93" s="235"/>
      <c r="C93" s="236"/>
      <c r="D93" s="236"/>
      <c r="E93" s="237"/>
      <c r="F93" s="237"/>
      <c r="G93" s="237"/>
      <c r="H93" s="41"/>
      <c r="P93" s="103">
        <v>21</v>
      </c>
      <c r="Q93" s="103"/>
      <c r="R93" s="103">
        <v>0.64</v>
      </c>
      <c r="S93" s="103"/>
      <c r="FK93" s="24"/>
      <c r="FL93" s="24"/>
      <c r="FM93" s="24"/>
      <c r="FN93" s="74" t="s">
        <v>81</v>
      </c>
      <c r="FO93" s="25" t="s">
        <v>82</v>
      </c>
      <c r="FP93" s="75" t="s">
        <v>83</v>
      </c>
      <c r="FS93" s="24"/>
      <c r="FT93" s="24"/>
      <c r="FU93" s="24"/>
      <c r="FV93" s="74" t="s">
        <v>81</v>
      </c>
      <c r="FW93" s="25" t="s">
        <v>82</v>
      </c>
      <c r="FX93" s="75" t="s">
        <v>83</v>
      </c>
      <c r="GA93" s="24"/>
      <c r="GB93" s="24"/>
      <c r="GC93" s="24"/>
      <c r="GD93" s="74" t="s">
        <v>81</v>
      </c>
      <c r="GE93" s="25" t="s">
        <v>82</v>
      </c>
      <c r="GF93" s="75" t="s">
        <v>83</v>
      </c>
      <c r="GI93" s="24"/>
      <c r="GJ93" s="24"/>
      <c r="GK93" s="24"/>
      <c r="GL93" s="74" t="s">
        <v>81</v>
      </c>
      <c r="GM93" s="25" t="s">
        <v>82</v>
      </c>
      <c r="GN93" s="75" t="s">
        <v>83</v>
      </c>
    </row>
    <row r="94" spans="1:196" ht="14.25">
      <c r="A94" s="238" t="s">
        <v>21</v>
      </c>
      <c r="B94" s="239" t="s">
        <v>15</v>
      </c>
      <c r="C94" s="231"/>
      <c r="D94" s="231"/>
      <c r="E94" s="240"/>
      <c r="F94" s="240"/>
      <c r="G94" s="240"/>
      <c r="H94" s="24"/>
      <c r="P94" s="103">
        <v>22</v>
      </c>
      <c r="Q94" s="103"/>
      <c r="R94" s="103">
        <v>0.36</v>
      </c>
      <c r="S94" s="103"/>
      <c r="FK94" s="24"/>
      <c r="FL94" s="31"/>
      <c r="FM94" s="31"/>
      <c r="FN94" s="74" t="s">
        <v>84</v>
      </c>
      <c r="FO94" s="25" t="s">
        <v>85</v>
      </c>
      <c r="FP94" s="75" t="s">
        <v>61</v>
      </c>
      <c r="FS94" s="24"/>
      <c r="FT94" s="31"/>
      <c r="FU94" s="31"/>
      <c r="FV94" s="74" t="s">
        <v>84</v>
      </c>
      <c r="FW94" s="25" t="s">
        <v>85</v>
      </c>
      <c r="FX94" s="75" t="s">
        <v>61</v>
      </c>
      <c r="GA94" s="24"/>
      <c r="GB94" s="31"/>
      <c r="GC94" s="31"/>
      <c r="GD94" s="74" t="s">
        <v>84</v>
      </c>
      <c r="GE94" s="25" t="s">
        <v>85</v>
      </c>
      <c r="GF94" s="75" t="s">
        <v>61</v>
      </c>
      <c r="GI94" s="24"/>
      <c r="GJ94" s="31"/>
      <c r="GK94" s="31"/>
      <c r="GL94" s="74" t="s">
        <v>84</v>
      </c>
      <c r="GM94" s="25" t="s">
        <v>85</v>
      </c>
      <c r="GN94" s="75" t="s">
        <v>61</v>
      </c>
    </row>
    <row r="95" spans="1:196" ht="14.25">
      <c r="A95" s="239"/>
      <c r="B95" s="239" t="s">
        <v>16</v>
      </c>
      <c r="C95" s="231"/>
      <c r="D95" s="231"/>
      <c r="E95" s="240"/>
      <c r="F95" s="240"/>
      <c r="G95" s="240"/>
      <c r="H95" s="24"/>
      <c r="P95" s="103">
        <v>23</v>
      </c>
      <c r="Q95" s="103"/>
      <c r="R95" s="103">
        <v>0.2</v>
      </c>
      <c r="S95" s="103"/>
      <c r="FK95" s="24"/>
      <c r="FL95" s="24"/>
      <c r="FM95" s="24"/>
      <c r="FN95" s="79"/>
      <c r="FO95" s="24"/>
      <c r="FP95" s="80"/>
      <c r="FS95" s="24"/>
      <c r="FT95" s="24"/>
      <c r="FU95" s="24"/>
      <c r="FV95" s="79"/>
      <c r="FW95" s="24"/>
      <c r="FX95" s="80"/>
      <c r="GA95" s="24"/>
      <c r="GB95" s="24"/>
      <c r="GC95" s="24"/>
      <c r="GD95" s="79"/>
      <c r="GE95" s="24"/>
      <c r="GF95" s="80"/>
      <c r="GI95" s="24"/>
      <c r="GJ95" s="24"/>
      <c r="GK95" s="24"/>
      <c r="GL95" s="79"/>
      <c r="GM95" s="24"/>
      <c r="GN95" s="80"/>
    </row>
    <row r="96" spans="1:196" ht="14.25">
      <c r="A96" s="240"/>
      <c r="B96" s="240"/>
      <c r="C96" s="240"/>
      <c r="D96" s="240"/>
      <c r="E96" s="240"/>
      <c r="F96" s="240"/>
      <c r="G96" s="240"/>
      <c r="H96" s="24"/>
      <c r="P96" s="103">
        <v>24</v>
      </c>
      <c r="Q96" s="103"/>
      <c r="R96" s="103">
        <v>0.51</v>
      </c>
      <c r="S96" s="103"/>
      <c r="FK96" s="24"/>
      <c r="FL96" s="24"/>
      <c r="FM96" s="24"/>
      <c r="FN96" s="81" t="e">
        <f>($O$30*0.85)*FQ87*0.227</f>
        <v>#DIV/0!</v>
      </c>
      <c r="FO96" s="66" t="e">
        <f>$K$56*$L$56</f>
        <v>#DIV/0!</v>
      </c>
      <c r="FP96" s="82" t="e">
        <f>FQ87*FO96*0.227</f>
        <v>#N/A</v>
      </c>
      <c r="FS96" s="24"/>
      <c r="FT96" s="24"/>
      <c r="FU96" s="24"/>
      <c r="FV96" s="81" t="e">
        <f>($O$30*0.85)*FY87*0.227</f>
        <v>#DIV/0!</v>
      </c>
      <c r="FW96" s="66" t="e">
        <f>$K$56*$L$56</f>
        <v>#DIV/0!</v>
      </c>
      <c r="FX96" s="82" t="e">
        <f>FY87*FW96*0.227</f>
        <v>#N/A</v>
      </c>
      <c r="GA96" s="24"/>
      <c r="GB96" s="24"/>
      <c r="GC96" s="24"/>
      <c r="GD96" s="81" t="e">
        <f>($O$30*0.85)*GG87*0.227</f>
        <v>#DIV/0!</v>
      </c>
      <c r="GE96" s="66" t="e">
        <f>$K$56*$L$56</f>
        <v>#DIV/0!</v>
      </c>
      <c r="GF96" s="82" t="e">
        <f>GG87*GE96*0.227</f>
        <v>#N/A</v>
      </c>
      <c r="GI96" s="24"/>
      <c r="GJ96" s="24"/>
      <c r="GK96" s="24"/>
      <c r="GL96" s="81" t="e">
        <f>($O$30*0.85)*GO87*0.227</f>
        <v>#DIV/0!</v>
      </c>
      <c r="GM96" s="66" t="e">
        <f>$K$56*$L$56</f>
        <v>#DIV/0!</v>
      </c>
      <c r="GN96" s="82" t="e">
        <f>GO87*GM96*0.227</f>
        <v>#DIV/0!</v>
      </c>
    </row>
    <row r="97" spans="1:195" ht="14.25">
      <c r="A97" s="240" t="s">
        <v>277</v>
      </c>
      <c r="B97" s="240" t="s">
        <v>278</v>
      </c>
      <c r="C97" s="240"/>
      <c r="D97" s="240"/>
      <c r="E97" s="240"/>
      <c r="F97" s="240"/>
      <c r="G97" s="240"/>
      <c r="H97" s="24"/>
      <c r="I97" s="220"/>
      <c r="P97" s="103">
        <v>25</v>
      </c>
      <c r="Q97" s="103"/>
      <c r="R97" s="103">
        <v>1.2</v>
      </c>
      <c r="S97" s="103"/>
      <c r="FK97" s="31"/>
      <c r="FL97" s="31"/>
      <c r="FM97" s="24"/>
      <c r="FN97" s="31" t="e">
        <f>FF97+FN96</f>
        <v>#DIV/0!</v>
      </c>
      <c r="FO97" s="24"/>
      <c r="FS97" s="31"/>
      <c r="FT97" s="31"/>
      <c r="FU97" s="24"/>
      <c r="FV97" s="31" t="e">
        <f>FN97+FV96</f>
        <v>#DIV/0!</v>
      </c>
      <c r="FW97" s="24"/>
      <c r="GA97" s="31"/>
      <c r="GB97" s="31"/>
      <c r="GC97" s="24"/>
      <c r="GD97" s="31" t="e">
        <f>FV97+GD96</f>
        <v>#DIV/0!</v>
      </c>
      <c r="GE97" s="24"/>
      <c r="GI97" s="31"/>
      <c r="GJ97" s="31"/>
      <c r="GK97" s="24"/>
      <c r="GL97" s="31" t="e">
        <f>GD97+GL96</f>
        <v>#DIV/0!</v>
      </c>
      <c r="GM97" s="24"/>
    </row>
    <row r="98" spans="1:197" ht="14.25">
      <c r="A98" s="240"/>
      <c r="B98" s="240"/>
      <c r="C98" s="240"/>
      <c r="D98" s="240"/>
      <c r="E98" s="240"/>
      <c r="F98" s="240"/>
      <c r="G98" s="240"/>
      <c r="H98" s="24"/>
      <c r="I98" s="45"/>
      <c r="P98" s="103">
        <v>26</v>
      </c>
      <c r="Q98" s="103" t="s">
        <v>178</v>
      </c>
      <c r="R98" s="103">
        <v>0.21</v>
      </c>
      <c r="S98" s="103"/>
      <c r="FK98" s="24"/>
      <c r="FL98" s="24"/>
      <c r="FM98" s="24"/>
      <c r="FN98" s="24"/>
      <c r="FO98" s="73" t="s">
        <v>91</v>
      </c>
      <c r="FP98" s="83" t="e">
        <f>FH98+FP96</f>
        <v>#N/A</v>
      </c>
      <c r="FQ98" s="17" t="s">
        <v>92</v>
      </c>
      <c r="FS98" s="24"/>
      <c r="FT98" s="24"/>
      <c r="FU98" s="24"/>
      <c r="FV98" s="24"/>
      <c r="FW98" s="73" t="s">
        <v>91</v>
      </c>
      <c r="FX98" s="83" t="e">
        <f>FP98+FX96</f>
        <v>#N/A</v>
      </c>
      <c r="FY98" s="17" t="s">
        <v>92</v>
      </c>
      <c r="GA98" s="24"/>
      <c r="GB98" s="24"/>
      <c r="GC98" s="24"/>
      <c r="GD98" s="24"/>
      <c r="GE98" s="73" t="s">
        <v>91</v>
      </c>
      <c r="GF98" s="83" t="e">
        <f>FX98+GF96</f>
        <v>#N/A</v>
      </c>
      <c r="GG98" s="17" t="s">
        <v>92</v>
      </c>
      <c r="GI98" s="24"/>
      <c r="GJ98" s="24"/>
      <c r="GK98" s="24"/>
      <c r="GL98" s="24"/>
      <c r="GM98" s="73" t="s">
        <v>91</v>
      </c>
      <c r="GN98" s="83" t="e">
        <f>GF98+GN96</f>
        <v>#N/A</v>
      </c>
      <c r="GO98" s="17" t="s">
        <v>92</v>
      </c>
    </row>
    <row r="99" spans="1:19" ht="14.25">
      <c r="A99" s="240"/>
      <c r="B99" s="240" t="s">
        <v>279</v>
      </c>
      <c r="C99" s="240"/>
      <c r="D99" s="240"/>
      <c r="E99" s="240"/>
      <c r="F99" s="240"/>
      <c r="G99" s="240"/>
      <c r="H99" s="24"/>
      <c r="P99" s="103">
        <v>27</v>
      </c>
      <c r="Q99" s="103"/>
      <c r="R99" s="103">
        <v>0.98</v>
      </c>
      <c r="S99" s="103"/>
    </row>
    <row r="100" spans="16:19" ht="14.25">
      <c r="P100" s="103">
        <v>28</v>
      </c>
      <c r="Q100" s="103"/>
      <c r="R100" s="103">
        <v>0.29</v>
      </c>
      <c r="S100" s="103"/>
    </row>
    <row r="101" spans="16:19" ht="14.25">
      <c r="P101" s="103">
        <v>29</v>
      </c>
      <c r="Q101" s="103"/>
      <c r="R101" s="103">
        <v>0.64</v>
      </c>
      <c r="S101" s="103"/>
    </row>
    <row r="102" spans="16:19" ht="14.25">
      <c r="P102" s="103">
        <v>30</v>
      </c>
      <c r="Q102" s="103"/>
      <c r="R102" s="103">
        <v>1.88</v>
      </c>
      <c r="S102" s="103"/>
    </row>
    <row r="103" spans="16:19" ht="14.25">
      <c r="P103" s="103">
        <v>31</v>
      </c>
      <c r="Q103" s="103"/>
      <c r="R103" s="103">
        <v>0.7</v>
      </c>
      <c r="S103" s="103"/>
    </row>
    <row r="104" spans="16:21" ht="14.25">
      <c r="P104" s="103">
        <v>32</v>
      </c>
      <c r="Q104" s="103"/>
      <c r="R104" s="103">
        <v>1</v>
      </c>
      <c r="S104" s="103"/>
      <c r="T104" s="17">
        <v>4.91</v>
      </c>
      <c r="U104" s="108" t="s">
        <v>179</v>
      </c>
    </row>
    <row r="105" spans="16:19" ht="14.25">
      <c r="P105" s="103">
        <v>33</v>
      </c>
      <c r="Q105" s="103"/>
      <c r="R105" s="103">
        <v>0.14</v>
      </c>
      <c r="S105" s="103"/>
    </row>
    <row r="106" spans="16:19" ht="14.25">
      <c r="P106" s="103">
        <v>34</v>
      </c>
      <c r="Q106" s="103"/>
      <c r="R106" s="103">
        <v>0.32</v>
      </c>
      <c r="S106" s="103"/>
    </row>
    <row r="107" spans="16:19" ht="14.25">
      <c r="P107" s="103">
        <v>35</v>
      </c>
      <c r="Q107" s="103" t="s">
        <v>180</v>
      </c>
      <c r="R107" s="103">
        <v>0.72</v>
      </c>
      <c r="S107" s="103"/>
    </row>
    <row r="108" spans="16:19" ht="14.25">
      <c r="P108" s="103">
        <v>36</v>
      </c>
      <c r="Q108" s="103"/>
      <c r="R108" s="103">
        <v>0.16</v>
      </c>
      <c r="S108" s="103"/>
    </row>
    <row r="109" spans="16:19" ht="14.25">
      <c r="P109" s="103">
        <v>37</v>
      </c>
      <c r="Q109" s="103"/>
      <c r="R109" s="103">
        <v>0.32</v>
      </c>
      <c r="S109" s="103"/>
    </row>
    <row r="110" spans="16:19" ht="14.25">
      <c r="P110" s="103">
        <v>38</v>
      </c>
      <c r="Q110" s="103"/>
      <c r="R110" s="103">
        <v>0.83</v>
      </c>
      <c r="S110" s="103"/>
    </row>
    <row r="111" spans="16:19" ht="14.25">
      <c r="P111" s="103">
        <v>39</v>
      </c>
      <c r="Q111" s="103"/>
      <c r="R111" s="103">
        <v>0.7</v>
      </c>
      <c r="S111" s="103"/>
    </row>
    <row r="112" spans="1:19" ht="15">
      <c r="A112" s="5"/>
      <c r="B112" s="2"/>
      <c r="C112" s="2"/>
      <c r="D112" s="2"/>
      <c r="E112" s="2"/>
      <c r="F112" s="2"/>
      <c r="G112" s="2"/>
      <c r="H112" s="2"/>
      <c r="P112" s="103">
        <v>40</v>
      </c>
      <c r="Q112" s="103" t="s">
        <v>181</v>
      </c>
      <c r="R112" s="103">
        <v>0.47</v>
      </c>
      <c r="S112" s="103"/>
    </row>
    <row r="113" spans="1:19" ht="14.25">
      <c r="A113" s="6"/>
      <c r="B113" s="7"/>
      <c r="C113" s="2"/>
      <c r="D113" s="2"/>
      <c r="E113" s="2"/>
      <c r="F113" s="2"/>
      <c r="G113" s="2"/>
      <c r="H113" s="2"/>
      <c r="P113" s="103">
        <v>41</v>
      </c>
      <c r="Q113" s="103"/>
      <c r="R113" s="103">
        <v>0.25</v>
      </c>
      <c r="S113" s="103"/>
    </row>
    <row r="114" spans="1:19" ht="14.25">
      <c r="A114" s="6"/>
      <c r="B114" s="2"/>
      <c r="C114" s="2"/>
      <c r="D114" s="2"/>
      <c r="E114" s="2"/>
      <c r="F114" s="2"/>
      <c r="G114" s="2"/>
      <c r="H114" s="2"/>
      <c r="P114" s="103">
        <v>42</v>
      </c>
      <c r="Q114" s="103"/>
      <c r="R114" s="103">
        <v>0.72</v>
      </c>
      <c r="S114" s="103"/>
    </row>
    <row r="115" spans="1:19" ht="14.25">
      <c r="A115" s="6"/>
      <c r="B115" s="7"/>
      <c r="C115" s="2"/>
      <c r="D115" s="2"/>
      <c r="E115" s="2"/>
      <c r="F115" s="2"/>
      <c r="G115" s="2"/>
      <c r="H115" s="2"/>
      <c r="P115" s="103">
        <v>43</v>
      </c>
      <c r="Q115" s="103"/>
      <c r="R115" s="103">
        <v>0.58</v>
      </c>
      <c r="S115" s="103"/>
    </row>
    <row r="116" spans="1:19" ht="14.25">
      <c r="A116" s="6"/>
      <c r="B116" s="7"/>
      <c r="C116" s="2"/>
      <c r="D116" s="2"/>
      <c r="E116" s="2"/>
      <c r="F116" s="2"/>
      <c r="G116" s="2"/>
      <c r="H116" s="2"/>
      <c r="P116" s="103">
        <v>44</v>
      </c>
      <c r="Q116" s="103"/>
      <c r="R116" s="103">
        <v>0.18</v>
      </c>
      <c r="S116" s="103"/>
    </row>
    <row r="117" spans="1:19" ht="14.25">
      <c r="A117" s="6"/>
      <c r="B117" s="7"/>
      <c r="C117" s="2"/>
      <c r="D117" s="2"/>
      <c r="E117" s="2"/>
      <c r="F117" s="2"/>
      <c r="G117" s="2"/>
      <c r="H117" s="2"/>
      <c r="P117" s="103">
        <v>45</v>
      </c>
      <c r="Q117" s="103"/>
      <c r="R117" s="103">
        <v>0.2</v>
      </c>
      <c r="S117" s="103"/>
    </row>
    <row r="118" spans="1:19" ht="14.25">
      <c r="A118" s="6"/>
      <c r="B118" s="7"/>
      <c r="C118" s="2"/>
      <c r="D118" s="2"/>
      <c r="E118" s="2"/>
      <c r="F118" s="2"/>
      <c r="G118" s="2"/>
      <c r="H118" s="2"/>
      <c r="P118" s="103">
        <v>46</v>
      </c>
      <c r="Q118" s="103" t="s">
        <v>182</v>
      </c>
      <c r="R118" s="103">
        <v>2.67</v>
      </c>
      <c r="S118" s="103"/>
    </row>
    <row r="119" spans="1:19" ht="14.25">
      <c r="A119" s="6"/>
      <c r="B119" s="12"/>
      <c r="C119" s="2"/>
      <c r="D119" s="2"/>
      <c r="E119" s="2"/>
      <c r="F119" s="2"/>
      <c r="G119" s="2"/>
      <c r="H119" s="2"/>
      <c r="P119" s="103">
        <v>47</v>
      </c>
      <c r="Q119" s="103"/>
      <c r="R119" s="103">
        <v>1.6</v>
      </c>
      <c r="S119" s="103"/>
    </row>
    <row r="120" spans="16:19" ht="14.25">
      <c r="P120" s="103">
        <v>48</v>
      </c>
      <c r="Q120" s="103"/>
      <c r="R120" s="103">
        <v>0.36</v>
      </c>
      <c r="S120" s="103"/>
    </row>
    <row r="121" spans="16:19" ht="14.25">
      <c r="P121" s="103">
        <v>49</v>
      </c>
      <c r="Q121" s="103"/>
      <c r="R121" s="103">
        <v>0.27</v>
      </c>
      <c r="S121" s="103"/>
    </row>
    <row r="122" spans="16:19" ht="14.25">
      <c r="P122" s="103">
        <v>50</v>
      </c>
      <c r="Q122" s="103"/>
      <c r="R122" s="103">
        <v>0.1</v>
      </c>
      <c r="S122" s="103"/>
    </row>
    <row r="123" spans="16:19" ht="14.25">
      <c r="P123" s="103">
        <v>51</v>
      </c>
      <c r="Q123" s="103" t="s">
        <v>183</v>
      </c>
      <c r="R123" s="103">
        <v>0.14</v>
      </c>
      <c r="S123" s="103"/>
    </row>
    <row r="124" spans="16:19" ht="14.25">
      <c r="P124" s="103">
        <v>52</v>
      </c>
      <c r="Q124" s="103"/>
      <c r="R124" s="103">
        <v>0.39</v>
      </c>
      <c r="S124" s="103"/>
    </row>
    <row r="125" spans="16:19" ht="14.25">
      <c r="P125" s="103">
        <v>53</v>
      </c>
      <c r="Q125" s="103"/>
      <c r="R125" s="103">
        <v>0.2</v>
      </c>
      <c r="S125" s="103"/>
    </row>
    <row r="126" spans="16:19" ht="14.25">
      <c r="P126" s="103">
        <v>54</v>
      </c>
      <c r="Q126" s="103"/>
      <c r="R126" s="103">
        <v>0.37</v>
      </c>
      <c r="S126" s="103"/>
    </row>
    <row r="127" spans="16:19" ht="14.25">
      <c r="P127" s="103">
        <v>55</v>
      </c>
      <c r="Q127" s="103"/>
      <c r="R127" s="103">
        <v>0.19</v>
      </c>
      <c r="S127" s="103"/>
    </row>
    <row r="128" spans="16:19" ht="14.25">
      <c r="P128" s="103">
        <v>56</v>
      </c>
      <c r="Q128" s="103"/>
      <c r="R128" s="103">
        <v>0.51</v>
      </c>
      <c r="S128" s="103"/>
    </row>
    <row r="129" spans="16:19" ht="14.25">
      <c r="P129" s="103">
        <v>57</v>
      </c>
      <c r="Q129" s="103"/>
      <c r="R129" s="103">
        <v>0.13</v>
      </c>
      <c r="S129" s="103"/>
    </row>
    <row r="130" spans="16:19" ht="14.25">
      <c r="P130" s="103">
        <v>58</v>
      </c>
      <c r="Q130" s="103"/>
      <c r="R130" s="103">
        <v>0.13</v>
      </c>
      <c r="S130" s="103"/>
    </row>
    <row r="131" spans="16:19" ht="14.25">
      <c r="P131" s="103">
        <v>59</v>
      </c>
      <c r="Q131" s="103"/>
      <c r="R131" s="103">
        <v>0.3</v>
      </c>
      <c r="S131" s="103"/>
    </row>
    <row r="132" spans="16:19" ht="14.25">
      <c r="P132" s="103">
        <v>60</v>
      </c>
      <c r="Q132" s="103" t="s">
        <v>184</v>
      </c>
      <c r="R132" s="103">
        <v>0.47</v>
      </c>
      <c r="S132" s="103"/>
    </row>
    <row r="133" spans="16:19" ht="14.25">
      <c r="P133" s="103">
        <v>61</v>
      </c>
      <c r="Q133" s="103"/>
      <c r="R133" s="103">
        <v>0.24</v>
      </c>
      <c r="S133" s="103"/>
    </row>
    <row r="134" spans="16:19" ht="14.25">
      <c r="P134" s="103">
        <v>62</v>
      </c>
      <c r="Q134" s="103"/>
      <c r="R134" s="103">
        <v>0.2</v>
      </c>
      <c r="S134" s="103"/>
    </row>
    <row r="135" spans="16:19" ht="14.25">
      <c r="P135" s="103">
        <v>63</v>
      </c>
      <c r="Q135" s="103"/>
      <c r="R135" s="103">
        <v>0.27</v>
      </c>
      <c r="S135" s="103"/>
    </row>
    <row r="136" spans="16:19" ht="14.25">
      <c r="P136" s="103">
        <v>64</v>
      </c>
      <c r="Q136" s="103"/>
      <c r="R136" s="103">
        <v>0.11</v>
      </c>
      <c r="S136" s="103"/>
    </row>
    <row r="137" spans="16:19" ht="14.25">
      <c r="P137" s="103">
        <v>65</v>
      </c>
      <c r="Q137" s="103"/>
      <c r="R137" s="103">
        <v>0.14</v>
      </c>
      <c r="S137" s="103"/>
    </row>
    <row r="138" spans="16:19" ht="14.25">
      <c r="P138" s="103">
        <v>66</v>
      </c>
      <c r="Q138" s="103" t="s">
        <v>185</v>
      </c>
      <c r="R138" s="103">
        <v>0.92</v>
      </c>
      <c r="S138" s="103"/>
    </row>
    <row r="139" spans="16:19" ht="14.25">
      <c r="P139" s="103">
        <v>67</v>
      </c>
      <c r="Q139" s="103"/>
      <c r="R139" s="103">
        <v>0.35</v>
      </c>
      <c r="S139" s="103"/>
    </row>
    <row r="140" spans="16:19" ht="14.25">
      <c r="P140" s="103">
        <v>68</v>
      </c>
      <c r="Q140" s="103"/>
      <c r="R140" s="103">
        <v>0.44</v>
      </c>
      <c r="S140" s="103"/>
    </row>
    <row r="141" spans="16:19" ht="14.25">
      <c r="P141" s="103">
        <v>69</v>
      </c>
      <c r="Q141" s="103"/>
      <c r="R141" s="103">
        <v>0.27</v>
      </c>
      <c r="S141" s="103"/>
    </row>
    <row r="142" spans="16:19" ht="14.25">
      <c r="P142" s="103">
        <v>70</v>
      </c>
      <c r="Q142" s="103"/>
      <c r="R142" s="103"/>
      <c r="S142" s="103"/>
    </row>
    <row r="143" spans="16:19" ht="14.25">
      <c r="P143" s="103"/>
      <c r="Q143" s="103"/>
      <c r="R143" s="103"/>
      <c r="S143" s="103"/>
    </row>
    <row r="144" spans="16:19" ht="14.25">
      <c r="P144" s="103"/>
      <c r="Q144" s="103"/>
      <c r="R144" s="103"/>
      <c r="S144" s="103"/>
    </row>
    <row r="145" spans="16:19" ht="14.25">
      <c r="P145" s="103"/>
      <c r="Q145" s="103"/>
      <c r="R145" s="103"/>
      <c r="S145" s="103"/>
    </row>
    <row r="146" spans="16:19" ht="14.25">
      <c r="P146" s="103"/>
      <c r="Q146" s="104" t="s">
        <v>186</v>
      </c>
      <c r="R146" s="91">
        <f>SUM($R$73:$R$145)</f>
        <v>30.929999999999996</v>
      </c>
      <c r="S146" s="103"/>
    </row>
    <row r="147" spans="16:19" ht="14.25">
      <c r="P147" s="103"/>
      <c r="Q147" s="103"/>
      <c r="R147" s="103"/>
      <c r="S147" s="103"/>
    </row>
    <row r="148" spans="16:19" ht="14.25">
      <c r="P148" s="103"/>
      <c r="Q148" s="104" t="s">
        <v>187</v>
      </c>
      <c r="R148" s="91" t="e">
        <f>T25</f>
        <v>#DIV/0!</v>
      </c>
      <c r="S148" s="103"/>
    </row>
    <row r="149" spans="16:19" ht="14.25">
      <c r="P149" s="103"/>
      <c r="Q149" s="103"/>
      <c r="R149" s="103"/>
      <c r="S149" s="103"/>
    </row>
    <row r="150" spans="16:19" ht="14.25">
      <c r="P150" s="103"/>
      <c r="Q150" s="104" t="s">
        <v>188</v>
      </c>
      <c r="R150" s="109" t="e">
        <f>O70</f>
        <v>#N/A</v>
      </c>
      <c r="S150" s="103"/>
    </row>
    <row r="151" spans="16:19" ht="14.25">
      <c r="P151" s="103"/>
      <c r="Q151" s="103"/>
      <c r="R151" s="103"/>
      <c r="S151" s="103"/>
    </row>
  </sheetData>
  <sheetProtection/>
  <printOptions/>
  <pageMargins left="0.89" right="0.5" top="0.5" bottom="0.25" header="0.5" footer="0.5"/>
  <pageSetup horizontalDpi="600" verticalDpi="6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151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91.28125" style="17" customWidth="1"/>
    <col min="2" max="2" width="10.421875" style="17" customWidth="1"/>
    <col min="3" max="16384" width="10.28125" style="17" customWidth="1"/>
  </cols>
  <sheetData>
    <row r="1" ht="14.25">
      <c r="A1" s="110" t="s">
        <v>323</v>
      </c>
    </row>
    <row r="2" ht="15">
      <c r="A2" s="216" t="s">
        <v>282</v>
      </c>
    </row>
    <row r="3" spans="1:3" ht="15">
      <c r="A3" s="216"/>
      <c r="C3" s="217" t="s">
        <v>304</v>
      </c>
    </row>
    <row r="4" ht="15">
      <c r="A4" s="217" t="s">
        <v>230</v>
      </c>
    </row>
    <row r="5" spans="1:3" ht="14.25">
      <c r="A5" s="110" t="s">
        <v>231</v>
      </c>
      <c r="C5" s="110" t="s">
        <v>305</v>
      </c>
    </row>
    <row r="6" spans="1:3" ht="14.25">
      <c r="A6" s="110" t="s">
        <v>330</v>
      </c>
      <c r="C6" s="110" t="s">
        <v>306</v>
      </c>
    </row>
    <row r="7" spans="1:3" ht="14.25">
      <c r="A7" s="110"/>
      <c r="C7" s="110" t="s">
        <v>307</v>
      </c>
    </row>
    <row r="8" spans="1:3" ht="15">
      <c r="A8" s="217" t="s">
        <v>232</v>
      </c>
      <c r="C8" s="110" t="s">
        <v>334</v>
      </c>
    </row>
    <row r="9" spans="1:3" ht="14.25">
      <c r="A9" s="110" t="s">
        <v>331</v>
      </c>
      <c r="C9" s="110" t="s">
        <v>308</v>
      </c>
    </row>
    <row r="10" spans="1:3" ht="14.25">
      <c r="A10" s="110" t="s">
        <v>237</v>
      </c>
      <c r="C10" s="110" t="s">
        <v>309</v>
      </c>
    </row>
    <row r="11" spans="1:3" ht="14.25">
      <c r="A11" s="110" t="s">
        <v>332</v>
      </c>
      <c r="C11" s="110" t="s">
        <v>310</v>
      </c>
    </row>
    <row r="12" ht="14.25">
      <c r="A12" s="110"/>
    </row>
    <row r="13" spans="1:3" ht="14.25">
      <c r="A13" s="110" t="s">
        <v>238</v>
      </c>
      <c r="C13" s="110" t="s">
        <v>311</v>
      </c>
    </row>
    <row r="14" spans="1:3" ht="14.25">
      <c r="A14" s="110" t="s">
        <v>239</v>
      </c>
      <c r="C14" s="110" t="s">
        <v>312</v>
      </c>
    </row>
    <row r="15" spans="1:3" ht="14.25">
      <c r="A15" s="110" t="s">
        <v>236</v>
      </c>
      <c r="C15" s="110" t="s">
        <v>313</v>
      </c>
    </row>
    <row r="16" ht="14.25">
      <c r="C16" s="110" t="s">
        <v>314</v>
      </c>
    </row>
    <row r="17" ht="15">
      <c r="A17" s="217" t="s">
        <v>240</v>
      </c>
    </row>
    <row r="18" spans="1:3" ht="14.25">
      <c r="A18" s="110" t="s">
        <v>241</v>
      </c>
      <c r="C18" s="110" t="s">
        <v>315</v>
      </c>
    </row>
    <row r="19" spans="1:3" ht="14.25">
      <c r="A19" s="110" t="s">
        <v>242</v>
      </c>
      <c r="C19" s="110" t="s">
        <v>316</v>
      </c>
    </row>
    <row r="20" ht="14.25">
      <c r="C20" s="110" t="s">
        <v>317</v>
      </c>
    </row>
    <row r="21" spans="1:3" ht="15">
      <c r="A21" s="217" t="s">
        <v>243</v>
      </c>
      <c r="C21" s="110" t="s">
        <v>335</v>
      </c>
    </row>
    <row r="22" spans="1:3" ht="14.25">
      <c r="A22" s="110" t="s">
        <v>244</v>
      </c>
      <c r="C22" s="110" t="s">
        <v>318</v>
      </c>
    </row>
    <row r="23" ht="14.25">
      <c r="A23" s="110" t="s">
        <v>245</v>
      </c>
    </row>
    <row r="24" spans="1:3" ht="14.25">
      <c r="A24" s="110" t="s">
        <v>246</v>
      </c>
      <c r="C24" s="110" t="s">
        <v>319</v>
      </c>
    </row>
    <row r="25" ht="14.25">
      <c r="C25" s="110" t="s">
        <v>320</v>
      </c>
    </row>
    <row r="26" spans="1:3" ht="15">
      <c r="A26" s="217" t="s">
        <v>333</v>
      </c>
      <c r="C26" s="110" t="s">
        <v>321</v>
      </c>
    </row>
    <row r="27" spans="1:3" ht="14.25">
      <c r="A27" s="110" t="s">
        <v>296</v>
      </c>
      <c r="C27" s="110" t="s">
        <v>322</v>
      </c>
    </row>
    <row r="28" spans="1:3" ht="14.25">
      <c r="A28" s="110" t="s">
        <v>259</v>
      </c>
      <c r="C28" s="110" t="s">
        <v>336</v>
      </c>
    </row>
    <row r="29" spans="1:3" ht="14.25">
      <c r="A29" s="110" t="s">
        <v>260</v>
      </c>
      <c r="C29" s="110" t="s">
        <v>337</v>
      </c>
    </row>
    <row r="30" ht="14.25">
      <c r="C30" s="110" t="s">
        <v>339</v>
      </c>
    </row>
    <row r="31" spans="1:3" ht="15">
      <c r="A31" s="217" t="s">
        <v>272</v>
      </c>
      <c r="C31" s="110" t="s">
        <v>338</v>
      </c>
    </row>
    <row r="32" ht="14.25">
      <c r="A32" s="110" t="s">
        <v>297</v>
      </c>
    </row>
    <row r="33" ht="14.25">
      <c r="A33" s="110" t="s">
        <v>298</v>
      </c>
    </row>
    <row r="34" ht="14.25">
      <c r="A34" s="110" t="s">
        <v>299</v>
      </c>
    </row>
    <row r="36" ht="15">
      <c r="A36" s="217" t="s">
        <v>288</v>
      </c>
    </row>
    <row r="37" ht="14.25">
      <c r="A37" s="110" t="s">
        <v>300</v>
      </c>
    </row>
    <row r="38" ht="14.25">
      <c r="A38" s="110" t="s">
        <v>301</v>
      </c>
    </row>
    <row r="41" ht="14.25">
      <c r="A41" s="17" t="s">
        <v>220</v>
      </c>
    </row>
    <row r="42" ht="14.25">
      <c r="A42" s="110" t="s">
        <v>247</v>
      </c>
    </row>
    <row r="45" ht="14.25">
      <c r="A45" s="110" t="s">
        <v>250</v>
      </c>
    </row>
    <row r="46" ht="15">
      <c r="A46" s="216" t="s">
        <v>248</v>
      </c>
    </row>
    <row r="47" ht="14.25">
      <c r="A47" s="112"/>
    </row>
    <row r="48" ht="14.25">
      <c r="A48" s="17" t="s">
        <v>189</v>
      </c>
    </row>
    <row r="49" ht="14.25">
      <c r="A49" s="108" t="s">
        <v>190</v>
      </c>
    </row>
    <row r="51" ht="14.25">
      <c r="A51" s="17" t="s">
        <v>191</v>
      </c>
    </row>
    <row r="52" ht="14.25">
      <c r="A52" s="17" t="s">
        <v>192</v>
      </c>
    </row>
    <row r="53" ht="14.25">
      <c r="A53" s="110" t="s">
        <v>228</v>
      </c>
    </row>
    <row r="55" ht="14.25">
      <c r="A55" s="17" t="s">
        <v>193</v>
      </c>
    </row>
    <row r="56" ht="14.25">
      <c r="A56" s="110" t="s">
        <v>221</v>
      </c>
    </row>
    <row r="57" ht="14.25">
      <c r="A57" s="110" t="s">
        <v>222</v>
      </c>
    </row>
    <row r="58" ht="14.25">
      <c r="A58" s="110" t="s">
        <v>233</v>
      </c>
    </row>
    <row r="59" ht="14.25">
      <c r="A59" s="110" t="s">
        <v>234</v>
      </c>
    </row>
    <row r="61" ht="14.25">
      <c r="A61" s="110" t="s">
        <v>250</v>
      </c>
    </row>
    <row r="62" ht="14.25">
      <c r="A62" s="110"/>
    </row>
    <row r="63" ht="15">
      <c r="A63" s="216" t="s">
        <v>249</v>
      </c>
    </row>
    <row r="64" ht="14.25">
      <c r="A64" s="17" t="s">
        <v>194</v>
      </c>
    </row>
    <row r="66" ht="14.25">
      <c r="A66" s="17" t="s">
        <v>195</v>
      </c>
    </row>
    <row r="67" ht="14.25">
      <c r="A67" s="17" t="s">
        <v>196</v>
      </c>
    </row>
    <row r="68" ht="14.25">
      <c r="A68" s="17" t="s">
        <v>197</v>
      </c>
    </row>
    <row r="70" ht="14.25">
      <c r="A70" s="110" t="s">
        <v>223</v>
      </c>
    </row>
    <row r="71" ht="14.25">
      <c r="A71" s="110" t="s">
        <v>224</v>
      </c>
    </row>
    <row r="73" ht="14.25">
      <c r="A73" s="110" t="s">
        <v>225</v>
      </c>
    </row>
    <row r="74" ht="14.25">
      <c r="A74" s="110" t="s">
        <v>253</v>
      </c>
    </row>
    <row r="75" ht="14.25">
      <c r="A75" s="110" t="s">
        <v>254</v>
      </c>
    </row>
    <row r="76" ht="14.25">
      <c r="A76" s="110" t="s">
        <v>252</v>
      </c>
    </row>
    <row r="77" ht="14.25">
      <c r="A77" s="17" t="s">
        <v>198</v>
      </c>
    </row>
    <row r="79" ht="14.25">
      <c r="A79" s="110" t="s">
        <v>251</v>
      </c>
    </row>
    <row r="80" ht="14.25">
      <c r="A80" s="110" t="s">
        <v>229</v>
      </c>
    </row>
    <row r="83" ht="15">
      <c r="A83" s="217" t="s">
        <v>199</v>
      </c>
    </row>
    <row r="84" ht="14.25">
      <c r="A84" s="17" t="s">
        <v>200</v>
      </c>
    </row>
    <row r="85" ht="14.25">
      <c r="A85" s="108" t="s">
        <v>201</v>
      </c>
    </row>
    <row r="86" ht="14.25">
      <c r="A86" s="17" t="s">
        <v>202</v>
      </c>
    </row>
    <row r="87" ht="14.25">
      <c r="A87" s="17" t="s">
        <v>203</v>
      </c>
    </row>
    <row r="88" ht="14.25">
      <c r="A88" s="17" t="s">
        <v>204</v>
      </c>
    </row>
    <row r="89" ht="14.25">
      <c r="A89" s="17" t="s">
        <v>205</v>
      </c>
    </row>
    <row r="90" ht="14.25">
      <c r="A90" s="17" t="s">
        <v>206</v>
      </c>
    </row>
    <row r="91" ht="14.25">
      <c r="A91" s="17" t="s">
        <v>207</v>
      </c>
    </row>
    <row r="92" ht="14.25">
      <c r="A92" s="17" t="s">
        <v>208</v>
      </c>
    </row>
    <row r="93" ht="14.25">
      <c r="A93" s="17" t="s">
        <v>209</v>
      </c>
    </row>
    <row r="94" ht="14.25">
      <c r="A94" s="17" t="s">
        <v>210</v>
      </c>
    </row>
    <row r="95" ht="14.25">
      <c r="A95" s="17" t="s">
        <v>211</v>
      </c>
    </row>
    <row r="96" ht="14.25">
      <c r="A96" s="17" t="s">
        <v>212</v>
      </c>
    </row>
    <row r="97" ht="14.25">
      <c r="A97" s="110" t="s">
        <v>226</v>
      </c>
    </row>
    <row r="98" ht="14.25">
      <c r="A98" s="17" t="s">
        <v>213</v>
      </c>
    </row>
    <row r="100" ht="14.25">
      <c r="A100" s="110" t="s">
        <v>250</v>
      </c>
    </row>
    <row r="102" ht="15">
      <c r="A102" s="216" t="s">
        <v>235</v>
      </c>
    </row>
    <row r="103" ht="14.25">
      <c r="A103" s="17" t="s">
        <v>169</v>
      </c>
    </row>
    <row r="104" ht="14.25">
      <c r="A104" s="17" t="s">
        <v>214</v>
      </c>
    </row>
    <row r="105" ht="14.25">
      <c r="A105" s="17" t="s">
        <v>215</v>
      </c>
    </row>
    <row r="106" ht="14.25">
      <c r="A106" s="17" t="s">
        <v>216</v>
      </c>
    </row>
    <row r="107" ht="14.25">
      <c r="A107" s="17" t="s">
        <v>217</v>
      </c>
    </row>
    <row r="108" ht="14.25">
      <c r="A108" s="17" t="s">
        <v>218</v>
      </c>
    </row>
    <row r="109" ht="14.25">
      <c r="A109" s="110" t="s">
        <v>255</v>
      </c>
    </row>
    <row r="111" ht="14.25">
      <c r="A111" s="17" t="s">
        <v>219</v>
      </c>
    </row>
    <row r="112" ht="14.25">
      <c r="A112" s="110" t="s">
        <v>257</v>
      </c>
    </row>
    <row r="113" ht="14.25">
      <c r="A113" s="110" t="s">
        <v>256</v>
      </c>
    </row>
    <row r="114" ht="14.25">
      <c r="A114" s="110" t="s">
        <v>258</v>
      </c>
    </row>
    <row r="124" ht="14.25">
      <c r="A124" s="110"/>
    </row>
    <row r="126" ht="14.25">
      <c r="A126" s="112"/>
    </row>
    <row r="127" ht="14.25">
      <c r="A127" s="110"/>
    </row>
    <row r="128" ht="14.25">
      <c r="A128" s="110"/>
    </row>
    <row r="129" ht="14.25">
      <c r="A129" s="110"/>
    </row>
    <row r="130" ht="14.25">
      <c r="A130" s="110"/>
    </row>
    <row r="131" ht="14.25">
      <c r="A131" s="110"/>
    </row>
    <row r="132" ht="14.25">
      <c r="A132" s="110"/>
    </row>
    <row r="133" ht="14.25">
      <c r="A133" s="110"/>
    </row>
    <row r="134" ht="14.25">
      <c r="A134" s="110"/>
    </row>
    <row r="135" ht="14.25">
      <c r="A135" s="110"/>
    </row>
    <row r="136" ht="14.25">
      <c r="A136" s="110"/>
    </row>
    <row r="137" ht="14.25">
      <c r="A137" s="110"/>
    </row>
    <row r="138" ht="14.25">
      <c r="A138" s="110"/>
    </row>
    <row r="140" ht="14.25">
      <c r="A140" s="110"/>
    </row>
    <row r="141" ht="14.25">
      <c r="A141" s="110"/>
    </row>
    <row r="142" ht="14.25">
      <c r="A142" s="110"/>
    </row>
    <row r="144" ht="14.25">
      <c r="A144" s="110"/>
    </row>
    <row r="145" ht="14.25">
      <c r="A145" s="110"/>
    </row>
    <row r="146" ht="14.25">
      <c r="A146" s="110"/>
    </row>
    <row r="147" ht="14.25">
      <c r="A147" s="110"/>
    </row>
    <row r="151" ht="14.25">
      <c r="A151" s="110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BL2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13.140625" style="0" customWidth="1"/>
    <col min="3" max="3" width="30.00390625" style="0" customWidth="1"/>
    <col min="4" max="4" width="18.28125" style="0" customWidth="1"/>
    <col min="5" max="5" width="2.8515625" style="0" customWidth="1"/>
    <col min="6" max="6" width="5.7109375" style="0" customWidth="1"/>
    <col min="7" max="7" width="3.140625" style="0" hidden="1" customWidth="1"/>
    <col min="8" max="8" width="5.57421875" style="0" customWidth="1"/>
    <col min="9" max="9" width="3.28125" style="0" hidden="1" customWidth="1"/>
    <col min="10" max="10" width="5.7109375" style="0" customWidth="1"/>
    <col min="11" max="11" width="4.00390625" style="0" hidden="1" customWidth="1"/>
    <col min="12" max="12" width="5.57421875" style="0" customWidth="1"/>
    <col min="13" max="13" width="5.00390625" style="0" hidden="1" customWidth="1"/>
    <col min="14" max="14" width="3.28125" style="0" customWidth="1"/>
    <col min="15" max="15" width="0" style="0" hidden="1" customWidth="1"/>
    <col min="16" max="16" width="15.140625" style="0" hidden="1" customWidth="1"/>
    <col min="17" max="32" width="0" style="0" hidden="1" customWidth="1"/>
    <col min="33" max="33" width="24.7109375" style="0" hidden="1" customWidth="1"/>
    <col min="34" max="34" width="0" style="0" hidden="1" customWidth="1"/>
    <col min="35" max="35" width="18.7109375" style="0" hidden="1" customWidth="1"/>
    <col min="36" max="36" width="26.57421875" style="0" hidden="1" customWidth="1"/>
    <col min="37" max="40" width="0" style="0" hidden="1" customWidth="1"/>
    <col min="41" max="41" width="3.421875" style="0" hidden="1" customWidth="1"/>
    <col min="42" max="47" width="0" style="0" hidden="1" customWidth="1"/>
    <col min="48" max="48" width="3.7109375" style="0" hidden="1" customWidth="1"/>
    <col min="49" max="49" width="0" style="0" hidden="1" customWidth="1"/>
    <col min="50" max="50" width="18.140625" style="0" hidden="1" customWidth="1"/>
    <col min="51" max="51" width="0" style="0" hidden="1" customWidth="1"/>
    <col min="52" max="52" width="8.57421875" style="0" hidden="1" customWidth="1"/>
    <col min="53" max="53" width="0" style="0" hidden="1" customWidth="1"/>
    <col min="54" max="54" width="11.421875" style="0" hidden="1" customWidth="1"/>
    <col min="55" max="55" width="0" style="0" hidden="1" customWidth="1"/>
    <col min="56" max="56" width="8.8515625" style="0" hidden="1" customWidth="1"/>
    <col min="57" max="62" width="0" style="0" hidden="1" customWidth="1"/>
    <col min="63" max="63" width="21.00390625" style="0" hidden="1" customWidth="1"/>
    <col min="64" max="64" width="10.00390625" style="0" hidden="1" customWidth="1"/>
    <col min="65" max="66" width="0" style="0" hidden="1" customWidth="1"/>
    <col min="67" max="67" width="3.421875" style="0" hidden="1" customWidth="1"/>
  </cols>
  <sheetData>
    <row r="1" spans="2:37" ht="12.75">
      <c r="B1" t="s">
        <v>340</v>
      </c>
      <c r="C1" s="256" t="s">
        <v>341</v>
      </c>
      <c r="F1" t="s">
        <v>342</v>
      </c>
      <c r="P1" s="247" t="s">
        <v>343</v>
      </c>
      <c r="Q1" s="247">
        <v>1</v>
      </c>
      <c r="R1" s="247">
        <v>2</v>
      </c>
      <c r="S1" s="247">
        <v>5</v>
      </c>
      <c r="T1" s="247">
        <v>10</v>
      </c>
      <c r="U1" s="247">
        <v>25</v>
      </c>
      <c r="V1" s="247">
        <v>50</v>
      </c>
      <c r="W1" s="247">
        <v>100</v>
      </c>
      <c r="AA1" t="s">
        <v>344</v>
      </c>
      <c r="AB1" t="s">
        <v>345</v>
      </c>
      <c r="AG1" t="s">
        <v>346</v>
      </c>
      <c r="AH1" t="s">
        <v>347</v>
      </c>
      <c r="AI1" t="str">
        <f aca="true" t="shared" si="0" ref="AI1:AI64">soils1&amp;soils3&amp;soils2</f>
        <v>ADRAIN   -----   A/D</v>
      </c>
      <c r="AJ1" s="248"/>
      <c r="AK1" s="249" t="s">
        <v>348</v>
      </c>
    </row>
    <row r="2" spans="2:37" ht="12.75">
      <c r="B2" s="250"/>
      <c r="F2" t="s">
        <v>349</v>
      </c>
      <c r="H2" t="s">
        <v>350</v>
      </c>
      <c r="J2" t="s">
        <v>351</v>
      </c>
      <c r="L2" t="s">
        <v>352</v>
      </c>
      <c r="O2">
        <v>1</v>
      </c>
      <c r="P2" s="249" t="s">
        <v>353</v>
      </c>
      <c r="Q2">
        <v>2.4</v>
      </c>
      <c r="R2">
        <v>2.8</v>
      </c>
      <c r="S2">
        <v>3.6</v>
      </c>
      <c r="T2">
        <v>4.1</v>
      </c>
      <c r="U2">
        <v>4.7</v>
      </c>
      <c r="V2">
        <v>5.2</v>
      </c>
      <c r="W2">
        <v>5.9</v>
      </c>
      <c r="AA2" s="247" t="s">
        <v>70</v>
      </c>
      <c r="AB2" s="247" t="s">
        <v>354</v>
      </c>
      <c r="AG2" t="s">
        <v>355</v>
      </c>
      <c r="AH2" t="s">
        <v>350</v>
      </c>
      <c r="AI2" t="str">
        <f t="shared" si="0"/>
        <v>ALBAN   -----   B</v>
      </c>
      <c r="AK2" s="249" t="s">
        <v>348</v>
      </c>
    </row>
    <row r="3" spans="2:48" ht="12.75">
      <c r="B3" s="249" t="s">
        <v>356</v>
      </c>
      <c r="D3" s="256" t="s">
        <v>357</v>
      </c>
      <c r="F3" s="249" t="s">
        <v>358</v>
      </c>
      <c r="G3" s="249" t="e">
        <f>IF(AND(#REF!&gt;0,#REF!&lt;2000),#REF!*F3,0)</f>
        <v>#REF!</v>
      </c>
      <c r="H3" s="249" t="s">
        <v>358</v>
      </c>
      <c r="I3" s="249" t="e">
        <f>IF(AND(#REF!&gt;0,#REF!&lt;2000),#REF!*H3,0)</f>
        <v>#REF!</v>
      </c>
      <c r="J3" s="249" t="s">
        <v>358</v>
      </c>
      <c r="K3" s="249" t="e">
        <f>IF(AND(#REF!&gt;0,#REF!&lt;2000),#REF!*J3,0)</f>
        <v>#REF!</v>
      </c>
      <c r="L3" s="249" t="s">
        <v>358</v>
      </c>
      <c r="M3" s="249" t="e">
        <f>IF(AND(#REF!&gt;0,#REF!&lt;2000),#REF!*L3,0)</f>
        <v>#REF!</v>
      </c>
      <c r="O3">
        <v>2</v>
      </c>
      <c r="P3" s="249" t="s">
        <v>359</v>
      </c>
      <c r="Q3">
        <v>2.2</v>
      </c>
      <c r="R3">
        <v>2.6</v>
      </c>
      <c r="S3">
        <v>3.3</v>
      </c>
      <c r="T3">
        <v>3.9</v>
      </c>
      <c r="U3">
        <v>4.3</v>
      </c>
      <c r="V3">
        <v>5</v>
      </c>
      <c r="W3">
        <v>5.4</v>
      </c>
      <c r="AA3">
        <v>40</v>
      </c>
      <c r="AB3">
        <v>3</v>
      </c>
      <c r="AG3" t="s">
        <v>360</v>
      </c>
      <c r="AH3" t="s">
        <v>350</v>
      </c>
      <c r="AI3" t="str">
        <f t="shared" si="0"/>
        <v>ALBAN VARIANT   -----   B</v>
      </c>
      <c r="AK3" s="249" t="s">
        <v>348</v>
      </c>
      <c r="AM3" s="251"/>
      <c r="AN3" s="249"/>
      <c r="AO3" s="249"/>
      <c r="AP3" s="251"/>
      <c r="AQ3" s="249"/>
      <c r="AR3" s="249"/>
      <c r="AS3" s="251"/>
      <c r="AT3" s="249"/>
      <c r="AU3" s="249"/>
      <c r="AV3" s="251"/>
    </row>
    <row r="4" spans="2:48" ht="12.75">
      <c r="B4" t="s">
        <v>361</v>
      </c>
      <c r="C4" s="249" t="s">
        <v>362</v>
      </c>
      <c r="D4" s="257" t="s">
        <v>363</v>
      </c>
      <c r="E4" s="249"/>
      <c r="F4" s="254">
        <v>77</v>
      </c>
      <c r="G4" s="254" t="e">
        <f>IF(AND(#REF!&gt;0,#REF!&lt;2000),#REF!*F4,0)</f>
        <v>#REF!</v>
      </c>
      <c r="H4" s="254">
        <v>86</v>
      </c>
      <c r="I4" s="254" t="e">
        <f>IF(AND(#REF!&gt;0,#REF!&lt;2000),#REF!*H4,0)</f>
        <v>#REF!</v>
      </c>
      <c r="J4" s="254">
        <v>91</v>
      </c>
      <c r="K4" s="254" t="e">
        <f>IF(AND(#REF!&gt;0,#REF!&lt;2000),#REF!*J4,0)</f>
        <v>#REF!</v>
      </c>
      <c r="L4" s="254">
        <v>94</v>
      </c>
      <c r="M4" s="249" t="e">
        <f>IF(AND(#REF!&gt;0,#REF!&lt;2000),#REF!*L4,0)</f>
        <v>#REF!</v>
      </c>
      <c r="O4">
        <v>3</v>
      </c>
      <c r="P4" s="249" t="s">
        <v>365</v>
      </c>
      <c r="Q4">
        <v>2.3</v>
      </c>
      <c r="R4">
        <v>2.7</v>
      </c>
      <c r="S4">
        <v>3.5</v>
      </c>
      <c r="T4">
        <v>4.1</v>
      </c>
      <c r="U4">
        <v>4.6</v>
      </c>
      <c r="V4">
        <v>5.2</v>
      </c>
      <c r="W4">
        <v>5.8</v>
      </c>
      <c r="AA4">
        <f aca="true" t="shared" si="1" ref="AA4:AA35">AA3+1</f>
        <v>41</v>
      </c>
      <c r="AB4">
        <v>2.878</v>
      </c>
      <c r="AG4" t="s">
        <v>366</v>
      </c>
      <c r="AH4" t="s">
        <v>350</v>
      </c>
      <c r="AI4" t="str">
        <f t="shared" si="0"/>
        <v>ALLENDALE   -----   B</v>
      </c>
      <c r="AK4" s="249" t="s">
        <v>348</v>
      </c>
      <c r="AM4" s="251" t="s">
        <v>364</v>
      </c>
      <c r="AN4" s="249"/>
      <c r="AO4" s="249"/>
      <c r="AP4" s="251"/>
      <c r="AQ4" s="249"/>
      <c r="AR4" s="249"/>
      <c r="AS4" s="251"/>
      <c r="AT4" s="249"/>
      <c r="AU4" s="249"/>
      <c r="AV4" s="251"/>
    </row>
    <row r="5" spans="3:48" ht="12.75">
      <c r="C5" s="249" t="s">
        <v>367</v>
      </c>
      <c r="D5" s="257" t="s">
        <v>368</v>
      </c>
      <c r="E5" s="249"/>
      <c r="F5" s="254">
        <v>76</v>
      </c>
      <c r="G5" s="254" t="e">
        <f>IF(AND(#REF!&gt;0,#REF!&lt;2000),#REF!*F5,0)</f>
        <v>#REF!</v>
      </c>
      <c r="H5" s="254">
        <v>85</v>
      </c>
      <c r="I5" s="254" t="e">
        <f>IF(AND(#REF!&gt;0,#REF!&lt;2000),#REF!*H5,0)</f>
        <v>#REF!</v>
      </c>
      <c r="J5" s="254">
        <v>90</v>
      </c>
      <c r="K5" s="254" t="e">
        <f>IF(AND(#REF!&gt;0,#REF!&lt;2000),#REF!*J5,0)</f>
        <v>#REF!</v>
      </c>
      <c r="L5" s="254">
        <v>93</v>
      </c>
      <c r="M5" s="249" t="e">
        <f>IF(AND(#REF!&gt;0,#REF!&lt;2000),#REF!*L5,0)</f>
        <v>#REF!</v>
      </c>
      <c r="O5">
        <v>4</v>
      </c>
      <c r="P5" s="249" t="s">
        <v>369</v>
      </c>
      <c r="Q5">
        <v>2.2</v>
      </c>
      <c r="R5">
        <v>2.6</v>
      </c>
      <c r="S5">
        <v>3.3</v>
      </c>
      <c r="T5">
        <v>3.9</v>
      </c>
      <c r="U5">
        <v>4.4</v>
      </c>
      <c r="V5">
        <v>5</v>
      </c>
      <c r="W5">
        <v>5.4</v>
      </c>
      <c r="AA5">
        <f t="shared" si="1"/>
        <v>42</v>
      </c>
      <c r="AB5">
        <v>2.762</v>
      </c>
      <c r="AG5" t="s">
        <v>370</v>
      </c>
      <c r="AH5" t="s">
        <v>349</v>
      </c>
      <c r="AI5" t="str">
        <f t="shared" si="0"/>
        <v>ALPENA   -----   A</v>
      </c>
      <c r="AK5" s="249" t="s">
        <v>348</v>
      </c>
      <c r="AM5" s="251" t="s">
        <v>364</v>
      </c>
      <c r="AN5" s="249"/>
      <c r="AO5" s="249"/>
      <c r="AP5" s="251"/>
      <c r="AQ5" s="249"/>
      <c r="AR5" s="249"/>
      <c r="AS5" s="251"/>
      <c r="AT5" s="249"/>
      <c r="AU5" s="249"/>
      <c r="AV5" s="251"/>
    </row>
    <row r="6" spans="3:48" ht="12.75">
      <c r="C6" s="249" t="s">
        <v>367</v>
      </c>
      <c r="D6" s="257" t="s">
        <v>371</v>
      </c>
      <c r="E6" s="249"/>
      <c r="F6" s="254">
        <v>74</v>
      </c>
      <c r="G6" s="254" t="e">
        <f>IF(AND(#REF!&gt;0,#REF!&lt;2000),#REF!*F6,0)</f>
        <v>#REF!</v>
      </c>
      <c r="H6" s="254">
        <v>83</v>
      </c>
      <c r="I6" s="254" t="e">
        <f>IF(AND(#REF!&gt;0,#REF!&lt;2000),#REF!*H6,0)</f>
        <v>#REF!</v>
      </c>
      <c r="J6" s="254">
        <v>88</v>
      </c>
      <c r="K6" s="254" t="e">
        <f>IF(AND(#REF!&gt;0,#REF!&lt;2000),#REF!*J6,0)</f>
        <v>#REF!</v>
      </c>
      <c r="L6" s="254">
        <v>90</v>
      </c>
      <c r="M6" s="249" t="e">
        <f>IF(AND(#REF!&gt;0,#REF!&lt;2000),#REF!*L6,0)</f>
        <v>#REF!</v>
      </c>
      <c r="O6">
        <v>5</v>
      </c>
      <c r="P6" s="249" t="s">
        <v>372</v>
      </c>
      <c r="Q6">
        <v>2.3</v>
      </c>
      <c r="R6">
        <v>2.5</v>
      </c>
      <c r="S6">
        <v>3.2</v>
      </c>
      <c r="T6">
        <v>3.7</v>
      </c>
      <c r="U6">
        <v>4.3</v>
      </c>
      <c r="V6">
        <v>4.8</v>
      </c>
      <c r="W6">
        <v>5.1</v>
      </c>
      <c r="AA6">
        <f t="shared" si="1"/>
        <v>43</v>
      </c>
      <c r="AB6">
        <v>2.651</v>
      </c>
      <c r="AG6" t="s">
        <v>373</v>
      </c>
      <c r="AH6" t="s">
        <v>352</v>
      </c>
      <c r="AI6" t="str">
        <f t="shared" si="0"/>
        <v>ALTDORF   -----   D</v>
      </c>
      <c r="AK6" s="249" t="s">
        <v>348</v>
      </c>
      <c r="AM6" s="251" t="s">
        <v>364</v>
      </c>
      <c r="AN6" s="249"/>
      <c r="AO6" s="249"/>
      <c r="AP6" s="251"/>
      <c r="AQ6" s="249"/>
      <c r="AR6" s="249"/>
      <c r="AS6" s="251"/>
      <c r="AT6" s="249"/>
      <c r="AU6" s="249"/>
      <c r="AV6" s="251"/>
    </row>
    <row r="7" spans="2:48" ht="12.75">
      <c r="B7" t="s">
        <v>374</v>
      </c>
      <c r="C7" s="249" t="s">
        <v>375</v>
      </c>
      <c r="D7" s="257" t="s">
        <v>368</v>
      </c>
      <c r="E7" s="249"/>
      <c r="F7" s="254">
        <v>72</v>
      </c>
      <c r="G7" s="254" t="e">
        <f>IF(AND(#REF!&gt;0,#REF!&lt;2000),#REF!*F7,0)</f>
        <v>#REF!</v>
      </c>
      <c r="H7" s="254">
        <v>81</v>
      </c>
      <c r="I7" s="254" t="e">
        <f>IF(AND(#REF!&gt;0,#REF!&lt;2000),#REF!*H7,0)</f>
        <v>#REF!</v>
      </c>
      <c r="J7" s="254">
        <v>88</v>
      </c>
      <c r="K7" s="254" t="e">
        <f>IF(AND(#REF!&gt;0,#REF!&lt;2000),#REF!*J7,0)</f>
        <v>#REF!</v>
      </c>
      <c r="L7" s="254">
        <v>91</v>
      </c>
      <c r="M7" s="249" t="e">
        <f>IF(AND(#REF!&gt;0,#REF!&lt;2000),#REF!*L7,0)</f>
        <v>#REF!</v>
      </c>
      <c r="O7">
        <v>6</v>
      </c>
      <c r="P7" s="249" t="s">
        <v>376</v>
      </c>
      <c r="Q7">
        <v>2.5</v>
      </c>
      <c r="R7">
        <v>2.9</v>
      </c>
      <c r="S7">
        <v>3.7</v>
      </c>
      <c r="T7">
        <v>4.3</v>
      </c>
      <c r="U7">
        <v>4.8</v>
      </c>
      <c r="V7">
        <v>5.4</v>
      </c>
      <c r="W7">
        <v>6.1</v>
      </c>
      <c r="AA7">
        <f t="shared" si="1"/>
        <v>44</v>
      </c>
      <c r="AB7">
        <v>2.545</v>
      </c>
      <c r="AG7" t="s">
        <v>377</v>
      </c>
      <c r="AH7" t="s">
        <v>378</v>
      </c>
      <c r="AI7" t="str">
        <f t="shared" si="0"/>
        <v>ANGELICA   -----   B/D</v>
      </c>
      <c r="AK7" s="249" t="s">
        <v>348</v>
      </c>
      <c r="AM7" s="251" t="s">
        <v>364</v>
      </c>
      <c r="AN7" s="249"/>
      <c r="AO7" s="249"/>
      <c r="AP7" s="251"/>
      <c r="AQ7" s="249"/>
      <c r="AR7" s="249"/>
      <c r="AS7" s="251"/>
      <c r="AT7" s="249"/>
      <c r="AU7" s="249"/>
      <c r="AV7" s="251"/>
    </row>
    <row r="8" spans="3:48" ht="12.75">
      <c r="C8" s="249" t="s">
        <v>375</v>
      </c>
      <c r="D8" s="257" t="s">
        <v>371</v>
      </c>
      <c r="E8" s="249"/>
      <c r="F8" s="254">
        <v>67</v>
      </c>
      <c r="G8" s="254" t="e">
        <f>IF(AND(#REF!&gt;0,#REF!&lt;2000),#REF!*F8,0)</f>
        <v>#REF!</v>
      </c>
      <c r="H8" s="254">
        <v>78</v>
      </c>
      <c r="I8" s="254" t="e">
        <f>IF(AND(#REF!&gt;0,#REF!&lt;2000),#REF!*H8,0)</f>
        <v>#REF!</v>
      </c>
      <c r="J8" s="254">
        <v>85</v>
      </c>
      <c r="K8" s="254" t="e">
        <f>IF(AND(#REF!&gt;0,#REF!&lt;2000),#REF!*J8,0)</f>
        <v>#REF!</v>
      </c>
      <c r="L8" s="254">
        <v>89</v>
      </c>
      <c r="M8" s="249" t="e">
        <f>IF(AND(#REF!&gt;0,#REF!&lt;2000),#REF!*L8,0)</f>
        <v>#REF!</v>
      </c>
      <c r="O8">
        <v>7</v>
      </c>
      <c r="P8" s="249" t="s">
        <v>379</v>
      </c>
      <c r="Q8">
        <v>2.3</v>
      </c>
      <c r="R8">
        <v>2.7</v>
      </c>
      <c r="S8">
        <v>3.4</v>
      </c>
      <c r="T8">
        <v>4</v>
      </c>
      <c r="U8">
        <v>4.6</v>
      </c>
      <c r="V8">
        <v>5.1</v>
      </c>
      <c r="W8">
        <v>5.7</v>
      </c>
      <c r="AA8">
        <f t="shared" si="1"/>
        <v>45</v>
      </c>
      <c r="AB8">
        <v>2.444</v>
      </c>
      <c r="AG8" t="s">
        <v>380</v>
      </c>
      <c r="AH8" t="s">
        <v>350</v>
      </c>
      <c r="AI8" t="str">
        <f t="shared" si="0"/>
        <v>ANTIGO   -----   B</v>
      </c>
      <c r="AK8" s="249" t="s">
        <v>348</v>
      </c>
      <c r="AM8" s="251" t="s">
        <v>364</v>
      </c>
      <c r="AN8" s="249"/>
      <c r="AO8" s="249"/>
      <c r="AP8" s="251"/>
      <c r="AQ8" s="249"/>
      <c r="AR8" s="249"/>
      <c r="AS8" s="251"/>
      <c r="AT8" s="249"/>
      <c r="AU8" s="249"/>
      <c r="AV8" s="251"/>
    </row>
    <row r="9" spans="3:64" ht="12.75">
      <c r="C9" s="249" t="s">
        <v>381</v>
      </c>
      <c r="D9" s="257" t="s">
        <v>368</v>
      </c>
      <c r="E9" s="249"/>
      <c r="F9" s="254">
        <v>71</v>
      </c>
      <c r="G9" s="254" t="e">
        <f>IF(AND(#REF!&gt;0,#REF!&lt;2000),#REF!*F9,0)</f>
        <v>#REF!</v>
      </c>
      <c r="H9" s="254">
        <v>80</v>
      </c>
      <c r="I9" s="254" t="e">
        <f>IF(AND(#REF!&gt;0,#REF!&lt;2000),#REF!*H9,0)</f>
        <v>#REF!</v>
      </c>
      <c r="J9" s="254">
        <v>87</v>
      </c>
      <c r="K9" s="254" t="e">
        <f>IF(AND(#REF!&gt;0,#REF!&lt;2000),#REF!*J9,0)</f>
        <v>#REF!</v>
      </c>
      <c r="L9" s="254">
        <v>90</v>
      </c>
      <c r="M9" s="249" t="e">
        <f>IF(AND(#REF!&gt;0,#REF!&lt;2000),#REF!*L9,0)</f>
        <v>#REF!</v>
      </c>
      <c r="O9">
        <v>8</v>
      </c>
      <c r="P9" s="249" t="s">
        <v>382</v>
      </c>
      <c r="Q9">
        <v>2.3</v>
      </c>
      <c r="R9">
        <v>2.5</v>
      </c>
      <c r="S9">
        <v>3.3</v>
      </c>
      <c r="T9">
        <v>3.8</v>
      </c>
      <c r="U9">
        <v>4.4</v>
      </c>
      <c r="V9">
        <v>4.9</v>
      </c>
      <c r="W9">
        <v>5.3</v>
      </c>
      <c r="AA9">
        <f t="shared" si="1"/>
        <v>46</v>
      </c>
      <c r="AB9">
        <v>2.348</v>
      </c>
      <c r="AG9" t="s">
        <v>383</v>
      </c>
      <c r="AH9" t="s">
        <v>352</v>
      </c>
      <c r="AI9" t="str">
        <f t="shared" si="0"/>
        <v>ARNHEIM   -----   D</v>
      </c>
      <c r="AK9" s="249" t="s">
        <v>348</v>
      </c>
      <c r="AM9" s="251" t="s">
        <v>364</v>
      </c>
      <c r="AN9" s="249"/>
      <c r="AO9" s="249"/>
      <c r="AP9" s="251"/>
      <c r="AQ9" s="249"/>
      <c r="AR9" s="249"/>
      <c r="AS9" s="251"/>
      <c r="AT9" s="249"/>
      <c r="AU9" s="249"/>
      <c r="AV9" s="251"/>
      <c r="BJ9" t="s">
        <v>384</v>
      </c>
      <c r="BK9" t="s">
        <v>385</v>
      </c>
      <c r="BL9">
        <v>0.011</v>
      </c>
    </row>
    <row r="10" spans="3:64" ht="12.75">
      <c r="C10" s="249" t="s">
        <v>381</v>
      </c>
      <c r="D10" s="257" t="s">
        <v>371</v>
      </c>
      <c r="E10" s="249"/>
      <c r="F10" s="254">
        <v>76</v>
      </c>
      <c r="G10" s="254" t="e">
        <f>IF(AND(#REF!&gt;0,#REF!&lt;2000),#REF!*F10,0)</f>
        <v>#REF!</v>
      </c>
      <c r="H10" s="254">
        <v>75</v>
      </c>
      <c r="I10" s="254" t="e">
        <f>IF(AND(#REF!&gt;0,#REF!&lt;2000),#REF!*H10,0)</f>
        <v>#REF!</v>
      </c>
      <c r="J10" s="254">
        <v>82</v>
      </c>
      <c r="K10" s="254" t="e">
        <f>IF(AND(#REF!&gt;0,#REF!&lt;2000),#REF!*J10,0)</f>
        <v>#REF!</v>
      </c>
      <c r="L10" s="254">
        <v>85</v>
      </c>
      <c r="M10" s="249" t="e">
        <f>IF(AND(#REF!&gt;0,#REF!&lt;2000),#REF!*L10,0)</f>
        <v>#REF!</v>
      </c>
      <c r="O10">
        <v>9</v>
      </c>
      <c r="P10" s="249" t="s">
        <v>386</v>
      </c>
      <c r="Q10">
        <v>2.3</v>
      </c>
      <c r="R10">
        <v>2.7</v>
      </c>
      <c r="S10">
        <v>3.6</v>
      </c>
      <c r="T10">
        <v>4.1</v>
      </c>
      <c r="U10">
        <v>4.7</v>
      </c>
      <c r="V10">
        <v>5.2</v>
      </c>
      <c r="W10">
        <v>5.8</v>
      </c>
      <c r="AA10">
        <f t="shared" si="1"/>
        <v>47</v>
      </c>
      <c r="AB10">
        <v>2.255</v>
      </c>
      <c r="AG10" t="s">
        <v>387</v>
      </c>
      <c r="AH10" t="s">
        <v>350</v>
      </c>
      <c r="AI10" t="str">
        <f t="shared" si="0"/>
        <v>ATTERBERRY   -----   B</v>
      </c>
      <c r="AK10" s="249" t="s">
        <v>348</v>
      </c>
      <c r="AM10" s="251" t="s">
        <v>364</v>
      </c>
      <c r="AN10" s="249"/>
      <c r="AO10" s="249"/>
      <c r="AP10" s="251"/>
      <c r="AQ10" s="249"/>
      <c r="AR10" s="249"/>
      <c r="AS10" s="251"/>
      <c r="AT10" s="249"/>
      <c r="AU10" s="249"/>
      <c r="AV10" s="251"/>
      <c r="BJ10" t="s">
        <v>388</v>
      </c>
      <c r="BK10" t="s">
        <v>389</v>
      </c>
      <c r="BL10">
        <v>0.05</v>
      </c>
    </row>
    <row r="11" spans="3:64" ht="12.75">
      <c r="C11" s="249" t="s">
        <v>390</v>
      </c>
      <c r="D11" s="257" t="s">
        <v>368</v>
      </c>
      <c r="E11" s="249"/>
      <c r="F11" s="254">
        <v>76</v>
      </c>
      <c r="G11" s="254" t="e">
        <f>IF(AND(#REF!&gt;0,#REF!&lt;2000),#REF!*F11,0)</f>
        <v>#REF!</v>
      </c>
      <c r="H11" s="254">
        <v>79</v>
      </c>
      <c r="I11" s="254" t="e">
        <f>IF(AND(#REF!&gt;0,#REF!&lt;2000),#REF!*H11,0)</f>
        <v>#REF!</v>
      </c>
      <c r="J11" s="254">
        <v>84</v>
      </c>
      <c r="K11" s="254" t="e">
        <f>IF(AND(#REF!&gt;0,#REF!&lt;2000),#REF!*J11,0)</f>
        <v>#REF!</v>
      </c>
      <c r="L11" s="254">
        <v>88</v>
      </c>
      <c r="M11" s="249" t="e">
        <f>IF(AND(#REF!&gt;0,#REF!&lt;2000),#REF!*L11,0)</f>
        <v>#REF!</v>
      </c>
      <c r="O11">
        <v>10</v>
      </c>
      <c r="P11" s="249" t="s">
        <v>391</v>
      </c>
      <c r="Q11">
        <v>2.4</v>
      </c>
      <c r="R11">
        <v>2.8</v>
      </c>
      <c r="S11">
        <v>3.6</v>
      </c>
      <c r="T11">
        <v>4.1</v>
      </c>
      <c r="U11">
        <v>4.7</v>
      </c>
      <c r="V11">
        <v>5.2</v>
      </c>
      <c r="W11">
        <v>5.9</v>
      </c>
      <c r="AA11">
        <f t="shared" si="1"/>
        <v>48</v>
      </c>
      <c r="AB11">
        <v>2.167</v>
      </c>
      <c r="AG11" t="s">
        <v>392</v>
      </c>
      <c r="AH11" t="s">
        <v>350</v>
      </c>
      <c r="AI11" t="str">
        <f t="shared" si="0"/>
        <v>AU GRES   -----   B</v>
      </c>
      <c r="AK11" s="249" t="s">
        <v>348</v>
      </c>
      <c r="AM11" s="251" t="s">
        <v>364</v>
      </c>
      <c r="AN11" s="249"/>
      <c r="AO11" s="249"/>
      <c r="AP11" s="251"/>
      <c r="AQ11" s="249"/>
      <c r="AR11" s="249"/>
      <c r="AS11" s="251"/>
      <c r="AT11" s="249"/>
      <c r="AU11" s="249"/>
      <c r="AV11" s="251"/>
      <c r="BJ11" t="s">
        <v>393</v>
      </c>
      <c r="BK11" t="s">
        <v>394</v>
      </c>
      <c r="BL11">
        <v>0.06</v>
      </c>
    </row>
    <row r="12" spans="3:64" ht="12.75">
      <c r="C12" s="249" t="s">
        <v>390</v>
      </c>
      <c r="D12" s="257" t="s">
        <v>371</v>
      </c>
      <c r="E12" s="249"/>
      <c r="F12" s="254">
        <v>76</v>
      </c>
      <c r="G12" s="254" t="e">
        <f>IF(AND(#REF!&gt;0,#REF!&lt;2000),#REF!*F12,0)</f>
        <v>#REF!</v>
      </c>
      <c r="H12" s="254">
        <v>75</v>
      </c>
      <c r="I12" s="254" t="e">
        <f>IF(AND(#REF!&gt;0,#REF!&lt;2000),#REF!*H12,0)</f>
        <v>#REF!</v>
      </c>
      <c r="J12" s="254">
        <v>82</v>
      </c>
      <c r="K12" s="254" t="e">
        <f>IF(AND(#REF!&gt;0,#REF!&lt;2000),#REF!*J12,0)</f>
        <v>#REF!</v>
      </c>
      <c r="L12" s="254">
        <v>86</v>
      </c>
      <c r="M12" s="249" t="e">
        <f>IF(AND(#REF!&gt;0,#REF!&lt;2000),#REF!*L12,0)</f>
        <v>#REF!</v>
      </c>
      <c r="O12">
        <v>11</v>
      </c>
      <c r="P12" s="249" t="s">
        <v>395</v>
      </c>
      <c r="Q12">
        <v>2.4</v>
      </c>
      <c r="R12">
        <v>2.8</v>
      </c>
      <c r="S12">
        <v>3.6</v>
      </c>
      <c r="T12">
        <v>4.2</v>
      </c>
      <c r="U12">
        <v>4.7</v>
      </c>
      <c r="V12">
        <v>5.2</v>
      </c>
      <c r="W12">
        <v>5.9</v>
      </c>
      <c r="AA12">
        <f t="shared" si="1"/>
        <v>49</v>
      </c>
      <c r="AB12">
        <v>2.082</v>
      </c>
      <c r="AG12" t="s">
        <v>396</v>
      </c>
      <c r="AH12" t="s">
        <v>350</v>
      </c>
      <c r="AI12" t="str">
        <f t="shared" si="0"/>
        <v>AUGRES VARIANT   -----   B</v>
      </c>
      <c r="AK12" s="249" t="s">
        <v>348</v>
      </c>
      <c r="AM12" s="251" t="s">
        <v>364</v>
      </c>
      <c r="AN12" s="249"/>
      <c r="AO12" s="249"/>
      <c r="AP12" s="251"/>
      <c r="AQ12" s="249"/>
      <c r="AR12" s="249"/>
      <c r="AS12" s="251"/>
      <c r="AT12" s="249"/>
      <c r="AU12" s="249"/>
      <c r="AV12" s="251"/>
      <c r="BJ12" t="s">
        <v>397</v>
      </c>
      <c r="BK12" t="s">
        <v>398</v>
      </c>
      <c r="BL12">
        <v>0.17</v>
      </c>
    </row>
    <row r="13" spans="3:64" ht="12.75">
      <c r="C13" s="249" t="s">
        <v>399</v>
      </c>
      <c r="D13" s="257" t="s">
        <v>368</v>
      </c>
      <c r="E13" s="249"/>
      <c r="F13" s="254">
        <v>69</v>
      </c>
      <c r="G13" s="254" t="e">
        <f>IF(AND(#REF!&gt;0,#REF!&lt;2000),#REF!*F13,0)</f>
        <v>#REF!</v>
      </c>
      <c r="H13" s="254">
        <v>78</v>
      </c>
      <c r="I13" s="254" t="e">
        <f>IF(AND(#REF!&gt;0,#REF!&lt;2000),#REF!*H13,0)</f>
        <v>#REF!</v>
      </c>
      <c r="J13" s="254">
        <v>83</v>
      </c>
      <c r="K13" s="254" t="e">
        <f>IF(AND(#REF!&gt;0,#REF!&lt;2000),#REF!*J13,0)</f>
        <v>#REF!</v>
      </c>
      <c r="L13" s="254">
        <v>87</v>
      </c>
      <c r="M13" s="249" t="e">
        <f>IF(AND(#REF!&gt;0,#REF!&lt;2000),#REF!*L13,0)</f>
        <v>#REF!</v>
      </c>
      <c r="O13">
        <v>12</v>
      </c>
      <c r="P13" s="249" t="s">
        <v>400</v>
      </c>
      <c r="Q13">
        <v>2.6</v>
      </c>
      <c r="R13">
        <v>3</v>
      </c>
      <c r="S13">
        <v>3.8</v>
      </c>
      <c r="T13">
        <v>4.3</v>
      </c>
      <c r="U13">
        <v>5</v>
      </c>
      <c r="V13">
        <v>5.5</v>
      </c>
      <c r="W13">
        <v>6.2</v>
      </c>
      <c r="AA13">
        <f t="shared" si="1"/>
        <v>50</v>
      </c>
      <c r="AB13">
        <v>2</v>
      </c>
      <c r="AG13" t="s">
        <v>401</v>
      </c>
      <c r="AH13" t="s">
        <v>350</v>
      </c>
      <c r="AI13" t="str">
        <f t="shared" si="0"/>
        <v>BANAT   -----   B</v>
      </c>
      <c r="AK13" s="249" t="s">
        <v>348</v>
      </c>
      <c r="AM13" s="251" t="s">
        <v>364</v>
      </c>
      <c r="AN13" s="249"/>
      <c r="AO13" s="249"/>
      <c r="AP13" s="251"/>
      <c r="AQ13" s="249"/>
      <c r="AR13" s="249"/>
      <c r="AS13" s="251"/>
      <c r="AT13" s="249"/>
      <c r="AU13" s="249"/>
      <c r="AV13" s="251"/>
      <c r="BJ13" t="s">
        <v>402</v>
      </c>
      <c r="BK13" t="s">
        <v>403</v>
      </c>
      <c r="BL13">
        <v>0.15</v>
      </c>
    </row>
    <row r="14" spans="3:64" ht="12.75">
      <c r="C14" s="249" t="s">
        <v>399</v>
      </c>
      <c r="D14" s="257" t="s">
        <v>371</v>
      </c>
      <c r="E14" s="249"/>
      <c r="F14" s="254">
        <v>64</v>
      </c>
      <c r="G14" s="254" t="e">
        <f>IF(AND(#REF!&gt;0,#REF!&lt;2000),#REF!*F14,0)</f>
        <v>#REF!</v>
      </c>
      <c r="H14" s="254">
        <v>74</v>
      </c>
      <c r="I14" s="254" t="e">
        <f>IF(AND(#REF!&gt;0,#REF!&lt;2000),#REF!*H14,0)</f>
        <v>#REF!</v>
      </c>
      <c r="J14" s="254">
        <v>81</v>
      </c>
      <c r="K14" s="254" t="e">
        <f>IF(AND(#REF!&gt;0,#REF!&lt;2000),#REF!*J14,0)</f>
        <v>#REF!</v>
      </c>
      <c r="L14" s="254">
        <v>85</v>
      </c>
      <c r="M14" s="249" t="e">
        <f>IF(AND(#REF!&gt;0,#REF!&lt;2000),#REF!*L14,0)</f>
        <v>#REF!</v>
      </c>
      <c r="O14">
        <v>13</v>
      </c>
      <c r="P14" s="249" t="s">
        <v>404</v>
      </c>
      <c r="Q14">
        <v>2.5</v>
      </c>
      <c r="R14">
        <v>2.9</v>
      </c>
      <c r="S14">
        <v>3.6</v>
      </c>
      <c r="T14">
        <v>4.2</v>
      </c>
      <c r="U14">
        <v>4.8</v>
      </c>
      <c r="V14">
        <v>5.3</v>
      </c>
      <c r="W14">
        <v>6</v>
      </c>
      <c r="AA14">
        <f t="shared" si="1"/>
        <v>51</v>
      </c>
      <c r="AB14">
        <v>1.922</v>
      </c>
      <c r="AG14" t="s">
        <v>405</v>
      </c>
      <c r="AH14" t="s">
        <v>378</v>
      </c>
      <c r="AI14" t="str">
        <f t="shared" si="0"/>
        <v>BELLEVILLE   -----   B/D</v>
      </c>
      <c r="AK14" s="249" t="s">
        <v>348</v>
      </c>
      <c r="AM14" s="251" t="s">
        <v>364</v>
      </c>
      <c r="AN14" s="249"/>
      <c r="AO14" s="249"/>
      <c r="AP14" s="251"/>
      <c r="AQ14" s="249"/>
      <c r="AR14" s="249"/>
      <c r="AS14" s="251"/>
      <c r="AT14" s="249"/>
      <c r="AU14" s="249"/>
      <c r="AV14" s="251"/>
      <c r="BJ14" t="s">
        <v>406</v>
      </c>
      <c r="BK14" t="s">
        <v>407</v>
      </c>
      <c r="BL14">
        <v>0.24</v>
      </c>
    </row>
    <row r="15" spans="3:64" ht="12.75">
      <c r="C15" s="249" t="s">
        <v>408</v>
      </c>
      <c r="D15" s="257" t="s">
        <v>368</v>
      </c>
      <c r="E15" s="249"/>
      <c r="F15" s="254">
        <v>66</v>
      </c>
      <c r="G15" s="254" t="e">
        <f>IF(AND(#REF!&gt;0,#REF!&lt;2000),#REF!*F15,0)</f>
        <v>#REF!</v>
      </c>
      <c r="H15" s="254">
        <v>74</v>
      </c>
      <c r="I15" s="254" t="e">
        <f>IF(AND(#REF!&gt;0,#REF!&lt;2000),#REF!*H15,0)</f>
        <v>#REF!</v>
      </c>
      <c r="J15" s="254">
        <v>80</v>
      </c>
      <c r="K15" s="254" t="e">
        <f>IF(AND(#REF!&gt;0,#REF!&lt;2000),#REF!*J15,0)</f>
        <v>#REF!</v>
      </c>
      <c r="L15" s="254">
        <v>82</v>
      </c>
      <c r="M15" s="249" t="e">
        <f>IF(AND(#REF!&gt;0,#REF!&lt;2000),#REF!*L15,0)</f>
        <v>#REF!</v>
      </c>
      <c r="O15">
        <v>14</v>
      </c>
      <c r="P15" s="249" t="s">
        <v>409</v>
      </c>
      <c r="Q15">
        <v>2.3</v>
      </c>
      <c r="R15">
        <v>2.8</v>
      </c>
      <c r="S15">
        <v>3.5</v>
      </c>
      <c r="T15">
        <v>4</v>
      </c>
      <c r="U15">
        <v>4.6</v>
      </c>
      <c r="V15">
        <v>5.1</v>
      </c>
      <c r="W15">
        <v>5.7</v>
      </c>
      <c r="AA15">
        <f t="shared" si="1"/>
        <v>52</v>
      </c>
      <c r="AB15">
        <v>1.846</v>
      </c>
      <c r="AG15" t="s">
        <v>410</v>
      </c>
      <c r="AH15" t="s">
        <v>350</v>
      </c>
      <c r="AI15" t="str">
        <f t="shared" si="0"/>
        <v>BELLEVUE   -----   B</v>
      </c>
      <c r="AK15" s="249" t="s">
        <v>348</v>
      </c>
      <c r="AM15" s="251" t="s">
        <v>364</v>
      </c>
      <c r="AN15" s="249"/>
      <c r="AO15" s="249"/>
      <c r="AP15" s="251"/>
      <c r="AQ15" s="249"/>
      <c r="AR15" s="249"/>
      <c r="AS15" s="251"/>
      <c r="AT15" s="249"/>
      <c r="AU15" s="249"/>
      <c r="AV15" s="251"/>
      <c r="BJ15" t="s">
        <v>411</v>
      </c>
      <c r="BK15" t="s">
        <v>412</v>
      </c>
      <c r="BL15">
        <v>0.41</v>
      </c>
    </row>
    <row r="16" spans="3:64" ht="12.75">
      <c r="C16" s="249" t="s">
        <v>408</v>
      </c>
      <c r="D16" s="257" t="s">
        <v>371</v>
      </c>
      <c r="E16" s="249"/>
      <c r="F16" s="254">
        <v>62</v>
      </c>
      <c r="G16" s="254" t="e">
        <f>IF(AND(#REF!&gt;0,#REF!&lt;2000),#REF!*F16,0)</f>
        <v>#REF!</v>
      </c>
      <c r="H16" s="254">
        <v>71</v>
      </c>
      <c r="I16" s="254" t="e">
        <f>IF(AND(#REF!&gt;0,#REF!&lt;2000),#REF!*H16,0)</f>
        <v>#REF!</v>
      </c>
      <c r="J16" s="254">
        <v>78</v>
      </c>
      <c r="K16" s="254" t="e">
        <f>IF(AND(#REF!&gt;0,#REF!&lt;2000),#REF!*J16,0)</f>
        <v>#REF!</v>
      </c>
      <c r="L16" s="254">
        <v>81</v>
      </c>
      <c r="M16" s="249" t="e">
        <f>IF(AND(#REF!&gt;0,#REF!&lt;2000),#REF!*L16,0)</f>
        <v>#REF!</v>
      </c>
      <c r="O16">
        <v>15</v>
      </c>
      <c r="P16" s="249" t="s">
        <v>413</v>
      </c>
      <c r="Q16">
        <v>2.1</v>
      </c>
      <c r="R16">
        <v>2.4</v>
      </c>
      <c r="S16">
        <v>3.1</v>
      </c>
      <c r="T16">
        <v>3.6</v>
      </c>
      <c r="U16">
        <v>4.1</v>
      </c>
      <c r="V16">
        <v>4.6</v>
      </c>
      <c r="W16">
        <v>4.9</v>
      </c>
      <c r="AA16">
        <f t="shared" si="1"/>
        <v>53</v>
      </c>
      <c r="AB16">
        <v>1.774</v>
      </c>
      <c r="AG16" t="s">
        <v>414</v>
      </c>
      <c r="AH16" t="s">
        <v>352</v>
      </c>
      <c r="AI16" t="str">
        <f t="shared" si="0"/>
        <v>BELLEVUE VARIANT   -----   D</v>
      </c>
      <c r="AK16" s="249" t="s">
        <v>348</v>
      </c>
      <c r="AM16" s="251" t="s">
        <v>364</v>
      </c>
      <c r="AN16" s="249"/>
      <c r="AO16" s="249"/>
      <c r="AP16" s="251"/>
      <c r="AQ16" s="249"/>
      <c r="AR16" s="249"/>
      <c r="AS16" s="251"/>
      <c r="AT16" s="249"/>
      <c r="AU16" s="249"/>
      <c r="AV16" s="251"/>
      <c r="BJ16" t="s">
        <v>415</v>
      </c>
      <c r="BK16" t="s">
        <v>416</v>
      </c>
      <c r="BL16">
        <v>0.4</v>
      </c>
    </row>
    <row r="17" spans="3:64" ht="12.75">
      <c r="C17" s="249" t="s">
        <v>417</v>
      </c>
      <c r="D17" s="257" t="s">
        <v>368</v>
      </c>
      <c r="E17" s="249"/>
      <c r="F17" s="254">
        <v>65</v>
      </c>
      <c r="G17" s="254" t="e">
        <f>IF(AND(#REF!&gt;0,#REF!&lt;2000),#REF!*F17,0)</f>
        <v>#REF!</v>
      </c>
      <c r="H17" s="254">
        <v>73</v>
      </c>
      <c r="I17" s="254" t="e">
        <f>IF(AND(#REF!&gt;0,#REF!&lt;2000),#REF!*H17,0)</f>
        <v>#REF!</v>
      </c>
      <c r="J17" s="254">
        <v>79</v>
      </c>
      <c r="K17" s="254" t="e">
        <f>IF(AND(#REF!&gt;0,#REF!&lt;2000),#REF!*J17,0)</f>
        <v>#REF!</v>
      </c>
      <c r="L17" s="254">
        <v>81</v>
      </c>
      <c r="M17" s="249" t="e">
        <f>IF(AND(#REF!&gt;0,#REF!&lt;2000),#REF!*L17,0)</f>
        <v>#REF!</v>
      </c>
      <c r="O17">
        <v>16</v>
      </c>
      <c r="P17" s="249" t="s">
        <v>418</v>
      </c>
      <c r="Q17">
        <v>2.2</v>
      </c>
      <c r="R17">
        <v>2.6</v>
      </c>
      <c r="S17">
        <v>3.3</v>
      </c>
      <c r="T17">
        <v>3.9</v>
      </c>
      <c r="U17">
        <v>4.4</v>
      </c>
      <c r="V17">
        <v>5</v>
      </c>
      <c r="W17">
        <v>5.5</v>
      </c>
      <c r="AA17">
        <f t="shared" si="1"/>
        <v>54</v>
      </c>
      <c r="AB17">
        <v>1.704</v>
      </c>
      <c r="AG17" t="s">
        <v>419</v>
      </c>
      <c r="AH17" t="s">
        <v>350</v>
      </c>
      <c r="AI17" t="str">
        <f t="shared" si="0"/>
        <v>BILLETT   -----   B</v>
      </c>
      <c r="AK17" s="249" t="s">
        <v>348</v>
      </c>
      <c r="AM17" s="251" t="s">
        <v>364</v>
      </c>
      <c r="AN17" s="249"/>
      <c r="AO17" s="249"/>
      <c r="AP17" s="251"/>
      <c r="AQ17" s="249"/>
      <c r="AR17" s="249"/>
      <c r="AS17" s="251"/>
      <c r="AT17" s="249"/>
      <c r="AU17" s="249"/>
      <c r="AV17" s="251"/>
      <c r="BJ17" t="s">
        <v>420</v>
      </c>
      <c r="BK17" t="s">
        <v>421</v>
      </c>
      <c r="BL17">
        <v>0.8</v>
      </c>
    </row>
    <row r="18" spans="3:64" ht="12.75">
      <c r="C18" s="249" t="s">
        <v>417</v>
      </c>
      <c r="D18" s="257" t="s">
        <v>371</v>
      </c>
      <c r="E18" s="249"/>
      <c r="F18" s="254">
        <v>69</v>
      </c>
      <c r="G18" s="254" t="e">
        <f>IF(AND(#REF!&gt;0,#REF!&lt;2000),#REF!*F18,0)</f>
        <v>#REF!</v>
      </c>
      <c r="H18" s="254">
        <v>70</v>
      </c>
      <c r="I18" s="254" t="e">
        <f>IF(AND(#REF!&gt;0,#REF!&lt;2000),#REF!*H18,0)</f>
        <v>#REF!</v>
      </c>
      <c r="J18" s="254">
        <v>77</v>
      </c>
      <c r="K18" s="254" t="e">
        <f>IF(AND(#REF!&gt;0,#REF!&lt;2000),#REF!*J18,0)</f>
        <v>#REF!</v>
      </c>
      <c r="L18" s="254">
        <v>80</v>
      </c>
      <c r="M18" s="249" t="e">
        <f>IF(AND(#REF!&gt;0,#REF!&lt;2000),#REF!*L18,0)</f>
        <v>#REF!</v>
      </c>
      <c r="O18">
        <v>17</v>
      </c>
      <c r="P18" s="249" t="s">
        <v>422</v>
      </c>
      <c r="Q18">
        <v>2.4</v>
      </c>
      <c r="R18">
        <v>2.8</v>
      </c>
      <c r="S18">
        <v>3.6</v>
      </c>
      <c r="T18">
        <v>4.2</v>
      </c>
      <c r="U18">
        <v>4.7</v>
      </c>
      <c r="V18">
        <v>5.3</v>
      </c>
      <c r="W18">
        <v>6</v>
      </c>
      <c r="AA18">
        <f t="shared" si="1"/>
        <v>55</v>
      </c>
      <c r="AB18">
        <v>1.636</v>
      </c>
      <c r="AG18" t="s">
        <v>423</v>
      </c>
      <c r="AH18" t="s">
        <v>351</v>
      </c>
      <c r="AI18" t="str">
        <f t="shared" si="0"/>
        <v>BONDUEL   -----   C</v>
      </c>
      <c r="AK18" s="249" t="s">
        <v>348</v>
      </c>
      <c r="AM18" s="251" t="s">
        <v>364</v>
      </c>
      <c r="AN18" s="249"/>
      <c r="AO18" s="249"/>
      <c r="AP18" s="251"/>
      <c r="AQ18" s="249"/>
      <c r="AR18" s="249"/>
      <c r="AS18" s="251"/>
      <c r="AT18" s="249"/>
      <c r="AU18" s="249"/>
      <c r="AV18" s="251"/>
      <c r="BJ18" t="s">
        <v>424</v>
      </c>
      <c r="BK18" t="s">
        <v>425</v>
      </c>
      <c r="BL18">
        <v>0.13</v>
      </c>
    </row>
    <row r="19" spans="2:48" ht="12.75">
      <c r="B19" t="s">
        <v>130</v>
      </c>
      <c r="C19" s="249" t="s">
        <v>375</v>
      </c>
      <c r="D19" s="257" t="s">
        <v>368</v>
      </c>
      <c r="E19" s="249"/>
      <c r="F19" s="254">
        <v>69</v>
      </c>
      <c r="G19" s="254" t="e">
        <f>IF(AND(#REF!&gt;0,#REF!&lt;2000),#REF!*F19,0)</f>
        <v>#REF!</v>
      </c>
      <c r="H19" s="254">
        <v>76</v>
      </c>
      <c r="I19" s="254" t="e">
        <f>IF(AND(#REF!&gt;0,#REF!&lt;2000),#REF!*H19,0)</f>
        <v>#REF!</v>
      </c>
      <c r="J19" s="254">
        <v>84</v>
      </c>
      <c r="K19" s="254" t="e">
        <f>IF(AND(#REF!&gt;0,#REF!&lt;2000),#REF!*J19,0)</f>
        <v>#REF!</v>
      </c>
      <c r="L19" s="254">
        <v>88</v>
      </c>
      <c r="M19" s="249" t="e">
        <f>IF(AND(#REF!&gt;0,#REF!&lt;2000),#REF!*L19,0)</f>
        <v>#REF!</v>
      </c>
      <c r="O19">
        <v>18</v>
      </c>
      <c r="P19" s="249" t="s">
        <v>426</v>
      </c>
      <c r="Q19">
        <v>2.4</v>
      </c>
      <c r="R19">
        <v>2.8</v>
      </c>
      <c r="S19">
        <v>3.6</v>
      </c>
      <c r="T19">
        <v>4.2</v>
      </c>
      <c r="U19">
        <v>4.7</v>
      </c>
      <c r="V19">
        <v>5.3</v>
      </c>
      <c r="W19">
        <v>6</v>
      </c>
      <c r="AA19">
        <f t="shared" si="1"/>
        <v>56</v>
      </c>
      <c r="AB19">
        <v>1.571</v>
      </c>
      <c r="AG19" t="s">
        <v>427</v>
      </c>
      <c r="AH19" t="s">
        <v>352</v>
      </c>
      <c r="AI19" t="str">
        <f t="shared" si="0"/>
        <v>BONDUEL VARIANT   -----   D</v>
      </c>
      <c r="AK19" s="249" t="s">
        <v>348</v>
      </c>
      <c r="AM19" s="251" t="s">
        <v>364</v>
      </c>
      <c r="AN19" s="249"/>
      <c r="AO19" s="249"/>
      <c r="AP19" s="251"/>
      <c r="AQ19" s="249"/>
      <c r="AR19" s="249"/>
      <c r="AS19" s="251"/>
      <c r="AT19" s="249"/>
      <c r="AU19" s="249"/>
      <c r="AV19" s="251"/>
    </row>
    <row r="20" spans="3:64" ht="12.75">
      <c r="C20" s="249" t="s">
        <v>375</v>
      </c>
      <c r="D20" s="257" t="s">
        <v>371</v>
      </c>
      <c r="E20" s="249"/>
      <c r="F20" s="254">
        <v>69</v>
      </c>
      <c r="G20" s="254" t="e">
        <f>IF(AND(#REF!&gt;0,#REF!&lt;2000),#REF!*F20,0)</f>
        <v>#REF!</v>
      </c>
      <c r="H20" s="254">
        <v>75</v>
      </c>
      <c r="I20" s="254" t="e">
        <f>IF(AND(#REF!&gt;0,#REF!&lt;2000),#REF!*H20,0)</f>
        <v>#REF!</v>
      </c>
      <c r="J20" s="254">
        <v>83</v>
      </c>
      <c r="K20" s="254" t="e">
        <f>IF(AND(#REF!&gt;0,#REF!&lt;2000),#REF!*J20,0)</f>
        <v>#REF!</v>
      </c>
      <c r="L20" s="254">
        <v>87</v>
      </c>
      <c r="M20" s="249" t="e">
        <f>IF(AND(#REF!&gt;0,#REF!&lt;2000),#REF!*L20,0)</f>
        <v>#REF!</v>
      </c>
      <c r="O20">
        <v>19</v>
      </c>
      <c r="P20" s="249" t="s">
        <v>428</v>
      </c>
      <c r="Q20">
        <v>2.1</v>
      </c>
      <c r="R20">
        <v>2.4</v>
      </c>
      <c r="S20">
        <v>3.1</v>
      </c>
      <c r="T20">
        <v>3.6</v>
      </c>
      <c r="U20">
        <v>4.1</v>
      </c>
      <c r="V20">
        <v>4.6</v>
      </c>
      <c r="W20">
        <v>4.9</v>
      </c>
      <c r="AA20">
        <f t="shared" si="1"/>
        <v>57</v>
      </c>
      <c r="AB20">
        <v>1.509</v>
      </c>
      <c r="AG20" t="s">
        <v>427</v>
      </c>
      <c r="AH20" t="s">
        <v>351</v>
      </c>
      <c r="AI20" t="str">
        <f t="shared" si="0"/>
        <v>BONDUEL VARIANT   -----   C</v>
      </c>
      <c r="AK20" s="249" t="s">
        <v>348</v>
      </c>
      <c r="AM20" s="251" t="s">
        <v>364</v>
      </c>
      <c r="AN20" s="249"/>
      <c r="AO20" s="249"/>
      <c r="AP20" s="251"/>
      <c r="AQ20" s="249"/>
      <c r="AR20" s="249"/>
      <c r="AS20" s="251"/>
      <c r="AT20" s="249"/>
      <c r="AU20" s="249"/>
      <c r="AV20" s="251"/>
      <c r="BK20" t="s">
        <v>429</v>
      </c>
      <c r="BL20" t="e">
        <f>#REF!</f>
        <v>#REF!</v>
      </c>
    </row>
    <row r="21" spans="3:48" ht="12.75">
      <c r="C21" s="249" t="s">
        <v>381</v>
      </c>
      <c r="D21" s="257" t="s">
        <v>368</v>
      </c>
      <c r="E21" s="249"/>
      <c r="F21" s="254">
        <v>69</v>
      </c>
      <c r="G21" s="254" t="e">
        <f>IF(AND(#REF!&gt;0,#REF!&lt;2000),#REF!*F21,0)</f>
        <v>#REF!</v>
      </c>
      <c r="H21" s="254">
        <v>75</v>
      </c>
      <c r="I21" s="254" t="e">
        <f>IF(AND(#REF!&gt;0,#REF!&lt;2000),#REF!*H21,0)</f>
        <v>#REF!</v>
      </c>
      <c r="J21" s="254">
        <v>83</v>
      </c>
      <c r="K21" s="254" t="e">
        <f>IF(AND(#REF!&gt;0,#REF!&lt;2000),#REF!*J21,0)</f>
        <v>#REF!</v>
      </c>
      <c r="L21" s="254">
        <v>86</v>
      </c>
      <c r="M21" s="249" t="e">
        <f>IF(AND(#REF!&gt;0,#REF!&lt;2000),#REF!*L21,0)</f>
        <v>#REF!</v>
      </c>
      <c r="O21">
        <v>20</v>
      </c>
      <c r="P21" s="249" t="s">
        <v>430</v>
      </c>
      <c r="Q21">
        <v>2.3</v>
      </c>
      <c r="R21">
        <v>2.6</v>
      </c>
      <c r="S21">
        <v>3.4</v>
      </c>
      <c r="T21">
        <v>3.9</v>
      </c>
      <c r="U21">
        <v>4.5</v>
      </c>
      <c r="V21">
        <v>5</v>
      </c>
      <c r="W21">
        <v>5.6</v>
      </c>
      <c r="AA21">
        <f t="shared" si="1"/>
        <v>58</v>
      </c>
      <c r="AB21">
        <v>1.448</v>
      </c>
      <c r="AG21" t="s">
        <v>431</v>
      </c>
      <c r="AH21" t="s">
        <v>347</v>
      </c>
      <c r="AI21" t="str">
        <f t="shared" si="0"/>
        <v>BOROSAPRISTS   -----   A/D</v>
      </c>
      <c r="AK21" s="249" t="s">
        <v>348</v>
      </c>
      <c r="AM21" s="251" t="s">
        <v>364</v>
      </c>
      <c r="AN21" s="249"/>
      <c r="AO21" s="249"/>
      <c r="AP21" s="251"/>
      <c r="AQ21" s="249"/>
      <c r="AR21" s="249"/>
      <c r="AS21" s="251"/>
      <c r="AT21" s="249"/>
      <c r="AU21" s="249"/>
      <c r="AV21" s="251"/>
    </row>
    <row r="22" spans="3:48" ht="12.75">
      <c r="C22" s="249" t="s">
        <v>381</v>
      </c>
      <c r="D22" s="257" t="s">
        <v>371</v>
      </c>
      <c r="E22" s="249"/>
      <c r="F22" s="254">
        <v>69</v>
      </c>
      <c r="G22" s="254" t="e">
        <f>IF(AND(#REF!&gt;0,#REF!&lt;2000),#REF!*F22,0)</f>
        <v>#REF!</v>
      </c>
      <c r="H22" s="254">
        <v>72</v>
      </c>
      <c r="I22" s="254" t="e">
        <f>IF(AND(#REF!&gt;0,#REF!&lt;2000),#REF!*H22,0)</f>
        <v>#REF!</v>
      </c>
      <c r="J22" s="254">
        <v>80</v>
      </c>
      <c r="K22" s="254" t="e">
        <f>IF(AND(#REF!&gt;0,#REF!&lt;2000),#REF!*J22,0)</f>
        <v>#REF!</v>
      </c>
      <c r="L22" s="254">
        <v>84</v>
      </c>
      <c r="M22" s="249" t="e">
        <f>IF(AND(#REF!&gt;0,#REF!&lt;2000),#REF!*L22,0)</f>
        <v>#REF!</v>
      </c>
      <c r="O22">
        <v>21</v>
      </c>
      <c r="P22" s="249" t="s">
        <v>432</v>
      </c>
      <c r="Q22">
        <v>2.1</v>
      </c>
      <c r="R22">
        <v>2.4</v>
      </c>
      <c r="S22">
        <v>3.2</v>
      </c>
      <c r="T22">
        <v>3.7</v>
      </c>
      <c r="U22">
        <v>4.2</v>
      </c>
      <c r="V22">
        <v>4.7</v>
      </c>
      <c r="W22">
        <v>5.1</v>
      </c>
      <c r="AA22">
        <f t="shared" si="1"/>
        <v>59</v>
      </c>
      <c r="AB22">
        <v>1.39</v>
      </c>
      <c r="AG22" t="s">
        <v>433</v>
      </c>
      <c r="AH22" t="s">
        <v>351</v>
      </c>
      <c r="AI22" t="str">
        <f t="shared" si="0"/>
        <v>BORTH   -----   C</v>
      </c>
      <c r="AK22" s="249" t="s">
        <v>348</v>
      </c>
      <c r="AM22" s="251" t="s">
        <v>364</v>
      </c>
      <c r="AN22" s="249"/>
      <c r="AO22" s="249"/>
      <c r="AP22" s="251"/>
      <c r="AQ22" s="249"/>
      <c r="AR22" s="249"/>
      <c r="AS22" s="251"/>
      <c r="AT22" s="249"/>
      <c r="AU22" s="249"/>
      <c r="AV22" s="251"/>
    </row>
    <row r="23" spans="3:48" ht="12.75">
      <c r="C23" s="249" t="s">
        <v>390</v>
      </c>
      <c r="D23" s="257" t="s">
        <v>368</v>
      </c>
      <c r="E23" s="249"/>
      <c r="F23" s="254">
        <v>69</v>
      </c>
      <c r="G23" s="254" t="e">
        <f>IF(AND(#REF!&gt;0,#REF!&lt;2000),#REF!*F23,0)</f>
        <v>#REF!</v>
      </c>
      <c r="H23" s="254">
        <v>74</v>
      </c>
      <c r="I23" s="254" t="e">
        <f>IF(AND(#REF!&gt;0,#REF!&lt;2000),#REF!*H23,0)</f>
        <v>#REF!</v>
      </c>
      <c r="J23" s="254">
        <v>82</v>
      </c>
      <c r="K23" s="254" t="e">
        <f>IF(AND(#REF!&gt;0,#REF!&lt;2000),#REF!*J23,0)</f>
        <v>#REF!</v>
      </c>
      <c r="L23" s="254">
        <v>85</v>
      </c>
      <c r="M23" s="249" t="e">
        <f>IF(AND(#REF!&gt;0,#REF!&lt;2000),#REF!*L23,0)</f>
        <v>#REF!</v>
      </c>
      <c r="O23">
        <v>22</v>
      </c>
      <c r="P23" s="249" t="s">
        <v>434</v>
      </c>
      <c r="Q23">
        <v>2.6</v>
      </c>
      <c r="R23">
        <v>3</v>
      </c>
      <c r="S23">
        <v>3.8</v>
      </c>
      <c r="T23">
        <v>4.3</v>
      </c>
      <c r="U23">
        <v>5</v>
      </c>
      <c r="V23">
        <v>5.5</v>
      </c>
      <c r="W23">
        <v>6.2</v>
      </c>
      <c r="AA23">
        <f t="shared" si="1"/>
        <v>60</v>
      </c>
      <c r="AB23">
        <v>1.333</v>
      </c>
      <c r="AG23" t="s">
        <v>435</v>
      </c>
      <c r="AH23" t="s">
        <v>350</v>
      </c>
      <c r="AI23" t="str">
        <f t="shared" si="0"/>
        <v>BOYER   -----   B</v>
      </c>
      <c r="AK23" s="249" t="s">
        <v>348</v>
      </c>
      <c r="AM23" s="251" t="s">
        <v>364</v>
      </c>
      <c r="AN23" s="249"/>
      <c r="AO23" s="249"/>
      <c r="AP23" s="251"/>
      <c r="AQ23" s="249"/>
      <c r="AR23" s="249"/>
      <c r="AS23" s="251"/>
      <c r="AT23" s="249"/>
      <c r="AU23" s="249"/>
      <c r="AV23" s="251"/>
    </row>
    <row r="24" spans="3:48" ht="12.75">
      <c r="C24" s="249" t="s">
        <v>390</v>
      </c>
      <c r="D24" s="257" t="s">
        <v>371</v>
      </c>
      <c r="E24" s="249"/>
      <c r="F24" s="254">
        <v>69</v>
      </c>
      <c r="G24" s="254" t="e">
        <f>IF(AND(#REF!&gt;0,#REF!&lt;2000),#REF!*F24,0)</f>
        <v>#REF!</v>
      </c>
      <c r="H24" s="254">
        <v>73</v>
      </c>
      <c r="I24" s="254" t="e">
        <f>IF(AND(#REF!&gt;0,#REF!&lt;2000),#REF!*H24,0)</f>
        <v>#REF!</v>
      </c>
      <c r="J24" s="254">
        <v>81</v>
      </c>
      <c r="K24" s="254" t="e">
        <f>IF(AND(#REF!&gt;0,#REF!&lt;2000),#REF!*J24,0)</f>
        <v>#REF!</v>
      </c>
      <c r="L24" s="254">
        <v>84</v>
      </c>
      <c r="M24" s="249" t="e">
        <f>IF(AND(#REF!&gt;0,#REF!&lt;2000),#REF!*L24,0)</f>
        <v>#REF!</v>
      </c>
      <c r="O24">
        <v>23</v>
      </c>
      <c r="P24" s="249" t="s">
        <v>436</v>
      </c>
      <c r="Q24">
        <v>2.5</v>
      </c>
      <c r="R24">
        <v>3</v>
      </c>
      <c r="S24">
        <v>3.7</v>
      </c>
      <c r="T24">
        <v>4.2</v>
      </c>
      <c r="U24">
        <v>4.8</v>
      </c>
      <c r="V24">
        <v>5.4</v>
      </c>
      <c r="W24">
        <v>6.1</v>
      </c>
      <c r="AA24">
        <f t="shared" si="1"/>
        <v>61</v>
      </c>
      <c r="AB24">
        <v>1.279</v>
      </c>
      <c r="AG24" t="s">
        <v>437</v>
      </c>
      <c r="AH24" t="s">
        <v>349</v>
      </c>
      <c r="AI24" t="str">
        <f t="shared" si="0"/>
        <v>BREMS   -----   A</v>
      </c>
      <c r="AK24" s="249" t="s">
        <v>348</v>
      </c>
      <c r="AM24" s="251" t="s">
        <v>364</v>
      </c>
      <c r="AN24" s="249"/>
      <c r="AO24" s="249"/>
      <c r="AP24" s="251"/>
      <c r="AQ24" s="249"/>
      <c r="AR24" s="249"/>
      <c r="AS24" s="251"/>
      <c r="AT24" s="249"/>
      <c r="AU24" s="249"/>
      <c r="AV24" s="251"/>
    </row>
    <row r="25" spans="3:48" ht="12.75">
      <c r="C25" s="249" t="s">
        <v>399</v>
      </c>
      <c r="D25" s="257" t="s">
        <v>368</v>
      </c>
      <c r="E25" s="249"/>
      <c r="F25" s="254">
        <v>69</v>
      </c>
      <c r="G25" s="254" t="e">
        <f>IF(AND(#REF!&gt;0,#REF!&lt;2000),#REF!*F25,0)</f>
        <v>#REF!</v>
      </c>
      <c r="H25" s="254">
        <v>73</v>
      </c>
      <c r="I25" s="254" t="e">
        <f>IF(AND(#REF!&gt;0,#REF!&lt;2000),#REF!*H25,0)</f>
        <v>#REF!</v>
      </c>
      <c r="J25" s="254">
        <v>81</v>
      </c>
      <c r="K25" s="254" t="e">
        <f>IF(AND(#REF!&gt;0,#REF!&lt;2000),#REF!*J25,0)</f>
        <v>#REF!</v>
      </c>
      <c r="L25" s="254">
        <v>84</v>
      </c>
      <c r="M25" s="249" t="e">
        <f>IF(AND(#REF!&gt;0,#REF!&lt;2000),#REF!*L25,0)</f>
        <v>#REF!</v>
      </c>
      <c r="O25">
        <v>24</v>
      </c>
      <c r="P25" s="249" t="s">
        <v>438</v>
      </c>
      <c r="Q25">
        <v>2.3</v>
      </c>
      <c r="R25">
        <v>2.7</v>
      </c>
      <c r="S25">
        <v>3.5</v>
      </c>
      <c r="T25">
        <v>4</v>
      </c>
      <c r="U25">
        <v>4.6</v>
      </c>
      <c r="V25">
        <v>5.1</v>
      </c>
      <c r="W25">
        <v>5.7</v>
      </c>
      <c r="AA25">
        <f t="shared" si="1"/>
        <v>62</v>
      </c>
      <c r="AB25">
        <v>1.226</v>
      </c>
      <c r="AG25" t="s">
        <v>439</v>
      </c>
      <c r="AH25" t="s">
        <v>378</v>
      </c>
      <c r="AI25" t="str">
        <f t="shared" si="0"/>
        <v>BREVORT   -----   B/D</v>
      </c>
      <c r="AK25" s="249" t="s">
        <v>348</v>
      </c>
      <c r="AM25" s="251" t="s">
        <v>364</v>
      </c>
      <c r="AN25" s="249"/>
      <c r="AO25" s="249"/>
      <c r="AP25" s="251"/>
      <c r="AQ25" s="249"/>
      <c r="AR25" s="249"/>
      <c r="AS25" s="251"/>
      <c r="AT25" s="249"/>
      <c r="AU25" s="249"/>
      <c r="AV25" s="251"/>
    </row>
    <row r="26" spans="3:48" ht="12.75">
      <c r="C26" s="249" t="s">
        <v>399</v>
      </c>
      <c r="D26" s="257" t="s">
        <v>371</v>
      </c>
      <c r="E26" s="249"/>
      <c r="F26" s="254">
        <v>69</v>
      </c>
      <c r="G26" s="254" t="e">
        <f>IF(AND(#REF!&gt;0,#REF!&lt;2000),#REF!*F26,0)</f>
        <v>#REF!</v>
      </c>
      <c r="H26" s="254">
        <v>72</v>
      </c>
      <c r="I26" s="254" t="e">
        <f>IF(AND(#REF!&gt;0,#REF!&lt;2000),#REF!*H26,0)</f>
        <v>#REF!</v>
      </c>
      <c r="J26" s="254">
        <v>80</v>
      </c>
      <c r="K26" s="254" t="e">
        <f>IF(AND(#REF!&gt;0,#REF!&lt;2000),#REF!*J26,0)</f>
        <v>#REF!</v>
      </c>
      <c r="L26" s="254">
        <v>83</v>
      </c>
      <c r="M26" s="249" t="e">
        <f>IF(AND(#REF!&gt;0,#REF!&lt;2000),#REF!*L26,0)</f>
        <v>#REF!</v>
      </c>
      <c r="O26">
        <v>25</v>
      </c>
      <c r="P26" s="249" t="s">
        <v>440</v>
      </c>
      <c r="Q26">
        <v>2.5</v>
      </c>
      <c r="R26">
        <v>3</v>
      </c>
      <c r="S26">
        <v>3.7</v>
      </c>
      <c r="T26">
        <v>4.3</v>
      </c>
      <c r="U26">
        <v>4.9</v>
      </c>
      <c r="V26">
        <v>5.4</v>
      </c>
      <c r="W26">
        <v>6.2</v>
      </c>
      <c r="AA26">
        <f t="shared" si="1"/>
        <v>63</v>
      </c>
      <c r="AB26">
        <v>1.175</v>
      </c>
      <c r="AG26" t="s">
        <v>441</v>
      </c>
      <c r="AH26" t="s">
        <v>351</v>
      </c>
      <c r="AI26" t="str">
        <f t="shared" si="0"/>
        <v>BRIGGSVILLE   -----   C</v>
      </c>
      <c r="AK26" s="249" t="s">
        <v>348</v>
      </c>
      <c r="AM26" s="251" t="s">
        <v>364</v>
      </c>
      <c r="AN26" s="249"/>
      <c r="AO26" s="249"/>
      <c r="AP26" s="251"/>
      <c r="AQ26" s="249"/>
      <c r="AR26" s="249"/>
      <c r="AS26" s="251"/>
      <c r="AT26" s="249"/>
      <c r="AU26" s="249"/>
      <c r="AV26" s="251"/>
    </row>
    <row r="27" spans="3:48" ht="12.75">
      <c r="C27" s="249" t="s">
        <v>408</v>
      </c>
      <c r="D27" s="257" t="s">
        <v>368</v>
      </c>
      <c r="E27" s="249"/>
      <c r="F27" s="254">
        <v>69</v>
      </c>
      <c r="G27" s="254" t="e">
        <f>IF(AND(#REF!&gt;0,#REF!&lt;2000),#REF!*F27,0)</f>
        <v>#REF!</v>
      </c>
      <c r="H27" s="254">
        <v>72</v>
      </c>
      <c r="I27" s="254" t="e">
        <f>IF(AND(#REF!&gt;0,#REF!&lt;2000),#REF!*H27,0)</f>
        <v>#REF!</v>
      </c>
      <c r="J27" s="254">
        <v>79</v>
      </c>
      <c r="K27" s="254" t="e">
        <f>IF(AND(#REF!&gt;0,#REF!&lt;2000),#REF!*J27,0)</f>
        <v>#REF!</v>
      </c>
      <c r="L27" s="254">
        <v>82</v>
      </c>
      <c r="M27" s="249" t="e">
        <f>IF(AND(#REF!&gt;0,#REF!&lt;2000),#REF!*L27,0)</f>
        <v>#REF!</v>
      </c>
      <c r="O27">
        <v>26</v>
      </c>
      <c r="P27" s="249" t="s">
        <v>442</v>
      </c>
      <c r="Q27">
        <v>2.3</v>
      </c>
      <c r="R27">
        <v>2.5</v>
      </c>
      <c r="S27">
        <v>3.3</v>
      </c>
      <c r="T27">
        <v>3.8</v>
      </c>
      <c r="U27">
        <v>4.3</v>
      </c>
      <c r="V27">
        <v>4.9</v>
      </c>
      <c r="W27">
        <v>5.3</v>
      </c>
      <c r="AA27">
        <f t="shared" si="1"/>
        <v>64</v>
      </c>
      <c r="AB27">
        <v>1.125</v>
      </c>
      <c r="AG27" t="s">
        <v>443</v>
      </c>
      <c r="AH27" t="s">
        <v>350</v>
      </c>
      <c r="AI27" t="str">
        <f t="shared" si="0"/>
        <v>BRILL   -----   B</v>
      </c>
      <c r="AK27" s="249" t="s">
        <v>348</v>
      </c>
      <c r="AM27" s="251" t="s">
        <v>364</v>
      </c>
      <c r="AN27" s="249"/>
      <c r="AO27" s="249"/>
      <c r="AP27" s="251"/>
      <c r="AQ27" s="249"/>
      <c r="AR27" s="249"/>
      <c r="AS27" s="251"/>
      <c r="AT27" s="249"/>
      <c r="AU27" s="249"/>
      <c r="AV27" s="251"/>
    </row>
    <row r="28" spans="3:48" ht="12.75">
      <c r="C28" s="249" t="s">
        <v>444</v>
      </c>
      <c r="D28" s="257" t="s">
        <v>371</v>
      </c>
      <c r="E28" s="249"/>
      <c r="F28" s="254">
        <v>69</v>
      </c>
      <c r="G28" s="254" t="e">
        <f>IF(AND(#REF!&gt;0,#REF!&lt;2000),#REF!*F28,0)</f>
        <v>#REF!</v>
      </c>
      <c r="H28" s="254">
        <v>70</v>
      </c>
      <c r="I28" s="254" t="e">
        <f>IF(AND(#REF!&gt;0,#REF!&lt;2000),#REF!*H28,0)</f>
        <v>#REF!</v>
      </c>
      <c r="J28" s="254">
        <v>78</v>
      </c>
      <c r="K28" s="254" t="e">
        <f>IF(AND(#REF!&gt;0,#REF!&lt;2000),#REF!*J28,0)</f>
        <v>#REF!</v>
      </c>
      <c r="L28" s="254">
        <v>81</v>
      </c>
      <c r="M28" s="249" t="e">
        <f>IF(AND(#REF!&gt;0,#REF!&lt;2000),#REF!*L28,0)</f>
        <v>#REF!</v>
      </c>
      <c r="O28">
        <v>27</v>
      </c>
      <c r="P28" s="249" t="s">
        <v>445</v>
      </c>
      <c r="Q28">
        <v>2.4</v>
      </c>
      <c r="R28">
        <v>2.8</v>
      </c>
      <c r="S28">
        <v>3.6</v>
      </c>
      <c r="T28">
        <v>4.2</v>
      </c>
      <c r="U28">
        <v>4.8</v>
      </c>
      <c r="V28">
        <v>5.3</v>
      </c>
      <c r="W28">
        <v>6</v>
      </c>
      <c r="AA28">
        <f t="shared" si="1"/>
        <v>65</v>
      </c>
      <c r="AB28">
        <v>1.077</v>
      </c>
      <c r="AG28" t="s">
        <v>446</v>
      </c>
      <c r="AH28" t="s">
        <v>378</v>
      </c>
      <c r="AI28" t="str">
        <f t="shared" si="0"/>
        <v>BROOKSTON   -----   B/D</v>
      </c>
      <c r="AK28" s="249" t="s">
        <v>348</v>
      </c>
      <c r="AM28" s="251" t="s">
        <v>364</v>
      </c>
      <c r="AN28" s="249"/>
      <c r="AO28" s="249"/>
      <c r="AP28" s="251"/>
      <c r="AQ28" s="249"/>
      <c r="AR28" s="249"/>
      <c r="AS28" s="251"/>
      <c r="AT28" s="249"/>
      <c r="AU28" s="249"/>
      <c r="AV28" s="251"/>
    </row>
    <row r="29" spans="3:48" ht="12.75">
      <c r="C29" s="249" t="s">
        <v>417</v>
      </c>
      <c r="D29" s="257" t="s">
        <v>368</v>
      </c>
      <c r="E29" s="249"/>
      <c r="F29" s="254">
        <v>69</v>
      </c>
      <c r="G29" s="254" t="e">
        <f>IF(AND(#REF!&gt;0,#REF!&lt;2000),#REF!*F29,0)</f>
        <v>#REF!</v>
      </c>
      <c r="H29" s="254">
        <v>71</v>
      </c>
      <c r="I29" s="254" t="e">
        <f>IF(AND(#REF!&gt;0,#REF!&lt;2000),#REF!*H29,0)</f>
        <v>#REF!</v>
      </c>
      <c r="J29" s="254">
        <v>78</v>
      </c>
      <c r="K29" s="254" t="e">
        <f>IF(AND(#REF!&gt;0,#REF!&lt;2000),#REF!*J29,0)</f>
        <v>#REF!</v>
      </c>
      <c r="L29" s="254">
        <v>81</v>
      </c>
      <c r="M29" s="249" t="e">
        <f>IF(AND(#REF!&gt;0,#REF!&lt;2000),#REF!*L29,0)</f>
        <v>#REF!</v>
      </c>
      <c r="O29">
        <v>28</v>
      </c>
      <c r="P29" s="249" t="s">
        <v>447</v>
      </c>
      <c r="Q29">
        <v>2.4</v>
      </c>
      <c r="R29">
        <v>2.8</v>
      </c>
      <c r="S29">
        <v>3.6</v>
      </c>
      <c r="T29">
        <v>4</v>
      </c>
      <c r="U29">
        <v>4.6</v>
      </c>
      <c r="V29">
        <v>5.2</v>
      </c>
      <c r="W29">
        <v>5.8</v>
      </c>
      <c r="AA29">
        <f t="shared" si="1"/>
        <v>66</v>
      </c>
      <c r="AB29">
        <v>1.03</v>
      </c>
      <c r="AG29" t="s">
        <v>448</v>
      </c>
      <c r="AH29" t="s">
        <v>378</v>
      </c>
      <c r="AI29" t="str">
        <f t="shared" si="0"/>
        <v>BRUCE   -----   B/D</v>
      </c>
      <c r="AK29" s="249" t="s">
        <v>348</v>
      </c>
      <c r="AM29" s="251" t="s">
        <v>364</v>
      </c>
      <c r="AN29" s="249"/>
      <c r="AO29" s="249"/>
      <c r="AP29" s="251"/>
      <c r="AQ29" s="249"/>
      <c r="AR29" s="249"/>
      <c r="AS29" s="251"/>
      <c r="AT29" s="249"/>
      <c r="AU29" s="249"/>
      <c r="AV29" s="251"/>
    </row>
    <row r="30" spans="3:50" ht="12.75">
      <c r="C30" s="249" t="s">
        <v>417</v>
      </c>
      <c r="D30" s="257" t="s">
        <v>371</v>
      </c>
      <c r="E30" s="249"/>
      <c r="F30" s="254">
        <v>69</v>
      </c>
      <c r="G30" s="254" t="e">
        <f>IF(AND(#REF!&gt;0,#REF!&lt;2000),#REF!*F30,0)</f>
        <v>#REF!</v>
      </c>
      <c r="H30" s="254">
        <v>69</v>
      </c>
      <c r="I30" s="254" t="e">
        <f>IF(AND(#REF!&gt;0,#REF!&lt;2000),#REF!*H30,0)</f>
        <v>#REF!</v>
      </c>
      <c r="J30" s="254">
        <v>77</v>
      </c>
      <c r="K30" s="254" t="e">
        <f>IF(AND(#REF!&gt;0,#REF!&lt;2000),#REF!*J30,0)</f>
        <v>#REF!</v>
      </c>
      <c r="L30" s="254">
        <v>80</v>
      </c>
      <c r="M30" s="249" t="e">
        <f>IF(AND(#REF!&gt;0,#REF!&lt;2000),#REF!*L30,0)</f>
        <v>#REF!</v>
      </c>
      <c r="O30">
        <v>29</v>
      </c>
      <c r="P30" s="249" t="s">
        <v>449</v>
      </c>
      <c r="Q30">
        <v>2.4</v>
      </c>
      <c r="R30">
        <v>2.8</v>
      </c>
      <c r="S30">
        <v>3.6</v>
      </c>
      <c r="T30">
        <v>4.1</v>
      </c>
      <c r="U30">
        <v>4.7</v>
      </c>
      <c r="V30">
        <v>5.3</v>
      </c>
      <c r="W30">
        <v>6</v>
      </c>
      <c r="AA30">
        <f t="shared" si="1"/>
        <v>67</v>
      </c>
      <c r="AB30">
        <v>0.985</v>
      </c>
      <c r="AG30" t="s">
        <v>450</v>
      </c>
      <c r="AH30" t="s">
        <v>347</v>
      </c>
      <c r="AI30" t="str">
        <f t="shared" si="0"/>
        <v>CARBONDALE   -----   A/D</v>
      </c>
      <c r="AK30" s="249" t="s">
        <v>348</v>
      </c>
      <c r="AM30" s="251" t="s">
        <v>364</v>
      </c>
      <c r="AN30" s="249"/>
      <c r="AO30" s="249"/>
      <c r="AP30" s="251"/>
      <c r="AQ30" s="249"/>
      <c r="AR30" s="249"/>
      <c r="AS30" s="251"/>
      <c r="AT30" s="249"/>
      <c r="AU30" s="249"/>
      <c r="AV30" s="251"/>
      <c r="AW30" s="249"/>
      <c r="AX30" s="249"/>
    </row>
    <row r="31" spans="2:50" ht="12.75">
      <c r="B31" t="s">
        <v>451</v>
      </c>
      <c r="C31" s="249" t="s">
        <v>452</v>
      </c>
      <c r="D31" s="257" t="s">
        <v>368</v>
      </c>
      <c r="E31" s="249"/>
      <c r="F31" s="254">
        <v>69</v>
      </c>
      <c r="G31" s="254" t="e">
        <f>IF(AND(#REF!&gt;0,#REF!&lt;2000),#REF!*F31,0)</f>
        <v>#REF!</v>
      </c>
      <c r="H31" s="254">
        <v>77</v>
      </c>
      <c r="I31" s="254" t="e">
        <f>IF(AND(#REF!&gt;0,#REF!&lt;2000),#REF!*H31,0)</f>
        <v>#REF!</v>
      </c>
      <c r="J31" s="254">
        <v>85</v>
      </c>
      <c r="K31" s="254" t="e">
        <f>IF(AND(#REF!&gt;0,#REF!&lt;2000),#REF!*J31,0)</f>
        <v>#REF!</v>
      </c>
      <c r="L31" s="254">
        <v>89</v>
      </c>
      <c r="M31" s="249" t="e">
        <f>IF(AND(#REF!&gt;0,#REF!&lt;2000),#REF!*L31,0)</f>
        <v>#REF!</v>
      </c>
      <c r="O31">
        <v>30</v>
      </c>
      <c r="P31" s="249" t="s">
        <v>453</v>
      </c>
      <c r="Q31">
        <v>2.3</v>
      </c>
      <c r="R31">
        <v>2.8</v>
      </c>
      <c r="S31">
        <v>3.5</v>
      </c>
      <c r="T31">
        <v>4</v>
      </c>
      <c r="U31">
        <v>4.6</v>
      </c>
      <c r="V31">
        <v>5.1</v>
      </c>
      <c r="W31">
        <v>5.7</v>
      </c>
      <c r="AA31">
        <f t="shared" si="1"/>
        <v>68</v>
      </c>
      <c r="AB31">
        <v>0.941</v>
      </c>
      <c r="AG31" t="s">
        <v>454</v>
      </c>
      <c r="AH31" t="s">
        <v>350</v>
      </c>
      <c r="AI31" t="str">
        <f t="shared" si="0"/>
        <v>CASCO   -----   B</v>
      </c>
      <c r="AK31" s="249" t="s">
        <v>348</v>
      </c>
      <c r="AM31" s="251" t="s">
        <v>364</v>
      </c>
      <c r="AN31" s="249"/>
      <c r="AO31" s="249"/>
      <c r="AP31" s="251"/>
      <c r="AQ31" s="249"/>
      <c r="AR31" s="249"/>
      <c r="AS31" s="251"/>
      <c r="AT31" s="249"/>
      <c r="AU31" s="249"/>
      <c r="AV31" s="251"/>
      <c r="AW31" s="249"/>
      <c r="AX31" s="249"/>
    </row>
    <row r="32" spans="2:50" ht="12.75">
      <c r="B32" t="s">
        <v>455</v>
      </c>
      <c r="C32" s="249" t="s">
        <v>452</v>
      </c>
      <c r="D32" s="257" t="s">
        <v>371</v>
      </c>
      <c r="E32" s="249"/>
      <c r="F32" s="254">
        <v>69</v>
      </c>
      <c r="G32" s="254" t="e">
        <f>IF(AND(#REF!&gt;0,#REF!&lt;2000),#REF!*F32,0)</f>
        <v>#REF!</v>
      </c>
      <c r="H32" s="254">
        <v>72</v>
      </c>
      <c r="I32" s="254" t="e">
        <f>IF(AND(#REF!&gt;0,#REF!&lt;2000),#REF!*H32,0)</f>
        <v>#REF!</v>
      </c>
      <c r="J32" s="254">
        <v>81</v>
      </c>
      <c r="K32" s="254" t="e">
        <f>IF(AND(#REF!&gt;0,#REF!&lt;2000),#REF!*J32,0)</f>
        <v>#REF!</v>
      </c>
      <c r="L32" s="254">
        <v>85</v>
      </c>
      <c r="M32" s="249" t="e">
        <f>IF(AND(#REF!&gt;0,#REF!&lt;2000),#REF!*L32,0)</f>
        <v>#REF!</v>
      </c>
      <c r="O32">
        <v>31</v>
      </c>
      <c r="P32" s="249" t="s">
        <v>456</v>
      </c>
      <c r="Q32">
        <v>2.1</v>
      </c>
      <c r="R32">
        <v>2.4</v>
      </c>
      <c r="S32">
        <v>3.2</v>
      </c>
      <c r="T32">
        <v>3.7</v>
      </c>
      <c r="U32">
        <v>4.2</v>
      </c>
      <c r="V32">
        <v>4.7</v>
      </c>
      <c r="W32">
        <v>5</v>
      </c>
      <c r="AA32">
        <f t="shared" si="1"/>
        <v>69</v>
      </c>
      <c r="AB32">
        <v>0.899</v>
      </c>
      <c r="AG32" t="s">
        <v>457</v>
      </c>
      <c r="AH32" t="s">
        <v>347</v>
      </c>
      <c r="AI32" t="str">
        <f t="shared" si="0"/>
        <v>CATHRO   -----   A/D</v>
      </c>
      <c r="AK32" s="249" t="s">
        <v>348</v>
      </c>
      <c r="AM32" s="251" t="s">
        <v>364</v>
      </c>
      <c r="AN32" s="249"/>
      <c r="AO32" s="249"/>
      <c r="AP32" s="251"/>
      <c r="AQ32" s="249"/>
      <c r="AR32" s="249"/>
      <c r="AS32" s="251"/>
      <c r="AT32" s="249"/>
      <c r="AU32" s="249"/>
      <c r="AV32" s="251"/>
      <c r="AW32" s="249"/>
      <c r="AX32" s="249"/>
    </row>
    <row r="33" spans="2:50" ht="12.75">
      <c r="B33" t="s">
        <v>458</v>
      </c>
      <c r="C33" s="249" t="s">
        <v>459</v>
      </c>
      <c r="D33" s="257" t="s">
        <v>368</v>
      </c>
      <c r="E33" s="249"/>
      <c r="F33" s="254">
        <v>69</v>
      </c>
      <c r="G33" s="254" t="e">
        <f>IF(AND(#REF!&gt;0,#REF!&lt;2000),#REF!*F33,0)</f>
        <v>#REF!</v>
      </c>
      <c r="H33" s="254">
        <v>75</v>
      </c>
      <c r="I33" s="254" t="e">
        <f>IF(AND(#REF!&gt;0,#REF!&lt;2000),#REF!*H33,0)</f>
        <v>#REF!</v>
      </c>
      <c r="J33" s="254">
        <v>83</v>
      </c>
      <c r="K33" s="254" t="e">
        <f>IF(AND(#REF!&gt;0,#REF!&lt;2000),#REF!*J33,0)</f>
        <v>#REF!</v>
      </c>
      <c r="L33" s="254">
        <v>85</v>
      </c>
      <c r="M33" s="249" t="e">
        <f>IF(AND(#REF!&gt;0,#REF!&lt;2000),#REF!*L33,0)</f>
        <v>#REF!</v>
      </c>
      <c r="O33">
        <v>32</v>
      </c>
      <c r="P33" s="249" t="s">
        <v>460</v>
      </c>
      <c r="Q33">
        <v>2.5</v>
      </c>
      <c r="R33">
        <v>2.9</v>
      </c>
      <c r="S33">
        <v>3.7</v>
      </c>
      <c r="T33">
        <v>4.3</v>
      </c>
      <c r="U33">
        <v>4.9</v>
      </c>
      <c r="V33">
        <v>5.4</v>
      </c>
      <c r="W33">
        <v>6.1</v>
      </c>
      <c r="AA33">
        <f t="shared" si="1"/>
        <v>70</v>
      </c>
      <c r="AB33">
        <v>0.857</v>
      </c>
      <c r="AG33" t="s">
        <v>461</v>
      </c>
      <c r="AH33" t="s">
        <v>352</v>
      </c>
      <c r="AI33" t="str">
        <f t="shared" si="0"/>
        <v>CHANNAHON   -----   D</v>
      </c>
      <c r="AK33" s="249" t="s">
        <v>348</v>
      </c>
      <c r="AM33" s="251" t="s">
        <v>364</v>
      </c>
      <c r="AN33" s="249"/>
      <c r="AO33" s="249"/>
      <c r="AP33" s="251"/>
      <c r="AQ33" s="249"/>
      <c r="AR33" s="249"/>
      <c r="AS33" s="251"/>
      <c r="AT33" s="249"/>
      <c r="AU33" s="249"/>
      <c r="AV33" s="251"/>
      <c r="AW33" s="249"/>
      <c r="AX33" s="249"/>
    </row>
    <row r="34" spans="2:50" ht="12.75">
      <c r="B34" t="s">
        <v>462</v>
      </c>
      <c r="C34" s="249" t="s">
        <v>459</v>
      </c>
      <c r="D34" s="257" t="s">
        <v>371</v>
      </c>
      <c r="E34" s="249"/>
      <c r="F34" s="254">
        <v>55</v>
      </c>
      <c r="G34" s="254" t="e">
        <f>IF(AND(#REF!&gt;0,#REF!&lt;2000),#REF!*F34,0)</f>
        <v>#REF!</v>
      </c>
      <c r="H34" s="254">
        <v>69</v>
      </c>
      <c r="I34" s="254" t="e">
        <f>IF(AND(#REF!&gt;0,#REF!&lt;2000),#REF!*H34,0)</f>
        <v>#REF!</v>
      </c>
      <c r="J34" s="254">
        <v>78</v>
      </c>
      <c r="K34" s="254" t="e">
        <f>IF(AND(#REF!&gt;0,#REF!&lt;2000),#REF!*J34,0)</f>
        <v>#REF!</v>
      </c>
      <c r="L34" s="254">
        <v>83</v>
      </c>
      <c r="M34" s="249" t="e">
        <f>IF(AND(#REF!&gt;0,#REF!&lt;2000),#REF!*L34,0)</f>
        <v>#REF!</v>
      </c>
      <c r="O34">
        <v>33</v>
      </c>
      <c r="P34" s="249" t="s">
        <v>463</v>
      </c>
      <c r="Q34">
        <v>2.6</v>
      </c>
      <c r="R34">
        <v>3</v>
      </c>
      <c r="S34">
        <v>3.8</v>
      </c>
      <c r="T34">
        <v>4.3</v>
      </c>
      <c r="U34">
        <v>4.9</v>
      </c>
      <c r="V34">
        <v>5.5</v>
      </c>
      <c r="W34">
        <v>6.2</v>
      </c>
      <c r="AA34">
        <f t="shared" si="1"/>
        <v>71</v>
      </c>
      <c r="AB34">
        <v>0.817</v>
      </c>
      <c r="AG34" t="s">
        <v>464</v>
      </c>
      <c r="AH34" t="s">
        <v>350</v>
      </c>
      <c r="AI34" t="str">
        <f t="shared" si="0"/>
        <v>CHARLEVOIX   -----   B</v>
      </c>
      <c r="AK34" s="249" t="s">
        <v>348</v>
      </c>
      <c r="AM34" s="251" t="s">
        <v>364</v>
      </c>
      <c r="AN34" s="249"/>
      <c r="AO34" s="249"/>
      <c r="AP34" s="251"/>
      <c r="AQ34" s="249"/>
      <c r="AR34" s="249"/>
      <c r="AS34" s="251"/>
      <c r="AT34" s="249"/>
      <c r="AU34" s="249"/>
      <c r="AV34" s="251"/>
      <c r="AW34" s="249"/>
      <c r="AX34" s="249"/>
    </row>
    <row r="35" spans="2:50" ht="12.75">
      <c r="B35" t="s">
        <v>465</v>
      </c>
      <c r="C35" s="249" t="s">
        <v>466</v>
      </c>
      <c r="D35" s="257" t="s">
        <v>368</v>
      </c>
      <c r="E35" s="249"/>
      <c r="F35" s="254">
        <v>63</v>
      </c>
      <c r="G35" s="254" t="e">
        <f>IF(AND(#REF!&gt;0,#REF!&lt;2000),#REF!*F35,0)</f>
        <v>#REF!</v>
      </c>
      <c r="H35" s="254">
        <v>73</v>
      </c>
      <c r="I35" s="254" t="e">
        <f>IF(AND(#REF!&gt;0,#REF!&lt;2000),#REF!*H35,0)</f>
        <v>#REF!</v>
      </c>
      <c r="J35" s="254">
        <v>80</v>
      </c>
      <c r="K35" s="254" t="e">
        <f>IF(AND(#REF!&gt;0,#REF!&lt;2000),#REF!*J35,0)</f>
        <v>#REF!</v>
      </c>
      <c r="L35" s="254">
        <v>83</v>
      </c>
      <c r="M35" s="249" t="e">
        <f>IF(AND(#REF!&gt;0,#REF!&lt;2000),#REF!*L35,0)</f>
        <v>#REF!</v>
      </c>
      <c r="O35">
        <v>34</v>
      </c>
      <c r="P35" s="249" t="s">
        <v>467</v>
      </c>
      <c r="Q35">
        <v>2.2</v>
      </c>
      <c r="R35">
        <v>2.5</v>
      </c>
      <c r="S35">
        <v>3.3</v>
      </c>
      <c r="T35">
        <v>3.8</v>
      </c>
      <c r="U35">
        <v>4.3</v>
      </c>
      <c r="V35">
        <v>4.9</v>
      </c>
      <c r="W35">
        <v>5.3</v>
      </c>
      <c r="AA35">
        <f t="shared" si="1"/>
        <v>72</v>
      </c>
      <c r="AB35">
        <v>0.778</v>
      </c>
      <c r="AG35" t="s">
        <v>468</v>
      </c>
      <c r="AH35" t="s">
        <v>352</v>
      </c>
      <c r="AI35" t="str">
        <f t="shared" si="0"/>
        <v>CHIPPENY   -----   D</v>
      </c>
      <c r="AK35" s="249" t="s">
        <v>348</v>
      </c>
      <c r="AM35" s="251" t="s">
        <v>364</v>
      </c>
      <c r="AN35" s="249"/>
      <c r="AO35" s="249"/>
      <c r="AP35" s="251"/>
      <c r="AQ35" s="249"/>
      <c r="AR35" s="249"/>
      <c r="AS35" s="251"/>
      <c r="AT35" s="249"/>
      <c r="AU35" s="249"/>
      <c r="AV35" s="251"/>
      <c r="AW35" s="249"/>
      <c r="AX35" s="249"/>
    </row>
    <row r="36" spans="3:50" ht="12.75">
      <c r="C36" s="249" t="s">
        <v>466</v>
      </c>
      <c r="D36" s="257" t="s">
        <v>371</v>
      </c>
      <c r="E36" s="249"/>
      <c r="F36" s="254">
        <v>51</v>
      </c>
      <c r="G36" s="254" t="e">
        <f>IF(AND(#REF!&gt;0,#REF!&lt;2000),#REF!*F36,0)</f>
        <v>#REF!</v>
      </c>
      <c r="H36" s="254">
        <v>67</v>
      </c>
      <c r="I36" s="254" t="e">
        <f>IF(AND(#REF!&gt;0,#REF!&lt;2000),#REF!*H36,0)</f>
        <v>#REF!</v>
      </c>
      <c r="J36" s="254">
        <v>76</v>
      </c>
      <c r="K36" s="254" t="e">
        <f>IF(AND(#REF!&gt;0,#REF!&lt;2000),#REF!*J36,0)</f>
        <v>#REF!</v>
      </c>
      <c r="L36" s="254">
        <v>80</v>
      </c>
      <c r="M36" s="249" t="e">
        <f>IF(AND(#REF!&gt;0,#REF!&lt;2000),#REF!*L36,0)</f>
        <v>#REF!</v>
      </c>
      <c r="O36">
        <v>35</v>
      </c>
      <c r="P36" s="249" t="s">
        <v>469</v>
      </c>
      <c r="Q36">
        <v>2.2</v>
      </c>
      <c r="R36">
        <v>2.6</v>
      </c>
      <c r="S36">
        <v>3.4</v>
      </c>
      <c r="T36">
        <v>3.9</v>
      </c>
      <c r="U36">
        <v>4.4</v>
      </c>
      <c r="V36">
        <v>5</v>
      </c>
      <c r="W36">
        <v>5.5</v>
      </c>
      <c r="AA36">
        <f aca="true" t="shared" si="2" ref="AA36:AA58">AA35+1</f>
        <v>73</v>
      </c>
      <c r="AB36">
        <v>0.74</v>
      </c>
      <c r="AG36" t="s">
        <v>470</v>
      </c>
      <c r="AH36" t="s">
        <v>349</v>
      </c>
      <c r="AI36" t="str">
        <f t="shared" si="0"/>
        <v>COLOMA   -----   A</v>
      </c>
      <c r="AK36" s="249" t="s">
        <v>348</v>
      </c>
      <c r="AM36" s="251" t="s">
        <v>364</v>
      </c>
      <c r="AN36" s="249"/>
      <c r="AO36" s="249"/>
      <c r="AP36" s="251"/>
      <c r="AQ36" s="249"/>
      <c r="AR36" s="249"/>
      <c r="AS36" s="251"/>
      <c r="AT36" s="249"/>
      <c r="AU36" s="249"/>
      <c r="AV36" s="251"/>
      <c r="AW36" s="249"/>
      <c r="AX36" s="249"/>
    </row>
    <row r="37" spans="2:50" ht="12.75">
      <c r="B37" s="249" t="s">
        <v>471</v>
      </c>
      <c r="D37" s="256"/>
      <c r="F37" s="254" t="s">
        <v>358</v>
      </c>
      <c r="G37" s="254" t="e">
        <f>IF(AND(#REF!&gt;0,#REF!&lt;2000),#REF!*F37,0)</f>
        <v>#REF!</v>
      </c>
      <c r="H37" s="254" t="s">
        <v>358</v>
      </c>
      <c r="I37" s="254" t="e">
        <f>IF(AND(#REF!&gt;0,#REF!&lt;2000),#REF!*H37,0)</f>
        <v>#REF!</v>
      </c>
      <c r="J37" s="254" t="s">
        <v>358</v>
      </c>
      <c r="K37" s="254" t="e">
        <f>IF(AND(#REF!&gt;0,#REF!&lt;2000),#REF!*J37,0)</f>
        <v>#REF!</v>
      </c>
      <c r="L37" s="255" t="s">
        <v>358</v>
      </c>
      <c r="M37" s="249" t="e">
        <f>IF(AND(#REF!&gt;0,#REF!&lt;2000),#REF!*L37,0)</f>
        <v>#REF!</v>
      </c>
      <c r="O37">
        <v>36</v>
      </c>
      <c r="P37" s="249" t="s">
        <v>472</v>
      </c>
      <c r="Q37">
        <v>2.2</v>
      </c>
      <c r="R37">
        <v>2.4</v>
      </c>
      <c r="S37">
        <v>3.3</v>
      </c>
      <c r="T37">
        <v>3.8</v>
      </c>
      <c r="U37">
        <v>4.3</v>
      </c>
      <c r="V37">
        <v>4.8</v>
      </c>
      <c r="W37">
        <v>5.2</v>
      </c>
      <c r="AA37">
        <f t="shared" si="2"/>
        <v>74</v>
      </c>
      <c r="AB37">
        <v>0.703</v>
      </c>
      <c r="AG37" t="s">
        <v>473</v>
      </c>
      <c r="AH37" t="s">
        <v>347</v>
      </c>
      <c r="AI37" t="str">
        <f t="shared" si="0"/>
        <v>CORMANT   -----   A/D</v>
      </c>
      <c r="AK37" s="249" t="s">
        <v>348</v>
      </c>
      <c r="AM37" s="251"/>
      <c r="AN37" s="249"/>
      <c r="AO37" s="249"/>
      <c r="AP37" s="251"/>
      <c r="AQ37" s="249"/>
      <c r="AR37" s="249"/>
      <c r="AS37" s="251"/>
      <c r="AT37" s="249"/>
      <c r="AU37" s="249"/>
      <c r="AV37" s="251"/>
      <c r="AW37" s="249"/>
      <c r="AX37" s="249"/>
    </row>
    <row r="38" spans="3:50" ht="12.75">
      <c r="C38" s="249" t="s">
        <v>474</v>
      </c>
      <c r="D38" s="257" t="s">
        <v>368</v>
      </c>
      <c r="E38" s="249"/>
      <c r="F38" s="254">
        <v>68</v>
      </c>
      <c r="G38" s="254" t="e">
        <f>IF(AND(#REF!&gt;0,#REF!&lt;2000),#REF!*F38,0)</f>
        <v>#REF!</v>
      </c>
      <c r="H38" s="254">
        <v>79</v>
      </c>
      <c r="I38" s="254" t="e">
        <f>IF(AND(#REF!&gt;0,#REF!&lt;2000),#REF!*H38,0)</f>
        <v>#REF!</v>
      </c>
      <c r="J38" s="254">
        <v>86</v>
      </c>
      <c r="K38" s="254" t="e">
        <f>IF(AND(#REF!&gt;0,#REF!&lt;2000),#REF!*J38,0)</f>
        <v>#REF!</v>
      </c>
      <c r="L38" s="254">
        <v>89</v>
      </c>
      <c r="M38" s="249" t="e">
        <f>IF(AND(#REF!&gt;0,#REF!&lt;2000),#REF!*L38,0)</f>
        <v>#REF!</v>
      </c>
      <c r="O38">
        <v>37</v>
      </c>
      <c r="P38" s="249" t="s">
        <v>475</v>
      </c>
      <c r="Q38">
        <v>2.3</v>
      </c>
      <c r="R38">
        <v>2.7</v>
      </c>
      <c r="S38">
        <v>3.5</v>
      </c>
      <c r="T38">
        <v>4</v>
      </c>
      <c r="U38">
        <v>4.5</v>
      </c>
      <c r="V38">
        <v>5.1</v>
      </c>
      <c r="W38">
        <v>5.7</v>
      </c>
      <c r="AA38">
        <f t="shared" si="2"/>
        <v>75</v>
      </c>
      <c r="AB38">
        <v>0.667</v>
      </c>
      <c r="AG38" t="s">
        <v>476</v>
      </c>
      <c r="AH38" t="s">
        <v>351</v>
      </c>
      <c r="AI38" t="str">
        <f t="shared" si="0"/>
        <v>COSAD   -----   C</v>
      </c>
      <c r="AK38" s="249" t="s">
        <v>348</v>
      </c>
      <c r="AM38" s="251" t="s">
        <v>364</v>
      </c>
      <c r="AN38" s="249"/>
      <c r="AO38" s="249"/>
      <c r="AP38" s="251"/>
      <c r="AQ38" s="249"/>
      <c r="AR38" s="249"/>
      <c r="AS38" s="251"/>
      <c r="AT38" s="249"/>
      <c r="AU38" s="249"/>
      <c r="AV38" s="251"/>
      <c r="AW38" s="249"/>
      <c r="AX38" s="249"/>
    </row>
    <row r="39" spans="3:50" ht="12.75">
      <c r="C39" s="249" t="s">
        <v>477</v>
      </c>
      <c r="D39" s="257" t="s">
        <v>478</v>
      </c>
      <c r="E39" s="249"/>
      <c r="F39" s="254">
        <v>49</v>
      </c>
      <c r="G39" s="254" t="e">
        <f>IF(AND(#REF!&gt;0,#REF!&lt;2000),#REF!*F39,0)</f>
        <v>#REF!</v>
      </c>
      <c r="H39" s="254">
        <v>69</v>
      </c>
      <c r="I39" s="254" t="e">
        <f>IF(AND(#REF!&gt;0,#REF!&lt;2000),#REF!*H39,0)</f>
        <v>#REF!</v>
      </c>
      <c r="J39" s="254">
        <v>79</v>
      </c>
      <c r="K39" s="254" t="e">
        <f>IF(AND(#REF!&gt;0,#REF!&lt;2000),#REF!*J39,0)</f>
        <v>#REF!</v>
      </c>
      <c r="L39" s="254">
        <v>84</v>
      </c>
      <c r="M39" s="249" t="e">
        <f>IF(AND(#REF!&gt;0,#REF!&lt;2000),#REF!*L39,0)</f>
        <v>#REF!</v>
      </c>
      <c r="O39">
        <v>38</v>
      </c>
      <c r="P39" s="249" t="s">
        <v>479</v>
      </c>
      <c r="Q39">
        <v>2.2</v>
      </c>
      <c r="R39">
        <v>2.4</v>
      </c>
      <c r="S39">
        <v>3.1</v>
      </c>
      <c r="T39">
        <v>3.6</v>
      </c>
      <c r="U39">
        <v>4.1</v>
      </c>
      <c r="V39">
        <v>4.6</v>
      </c>
      <c r="W39">
        <v>4.9</v>
      </c>
      <c r="AA39">
        <f t="shared" si="2"/>
        <v>76</v>
      </c>
      <c r="AB39">
        <v>0.632</v>
      </c>
      <c r="AG39" t="s">
        <v>480</v>
      </c>
      <c r="AH39" t="s">
        <v>349</v>
      </c>
      <c r="AI39" t="str">
        <f t="shared" si="0"/>
        <v>CROMWELL   -----   A</v>
      </c>
      <c r="AK39" s="249" t="s">
        <v>348</v>
      </c>
      <c r="AM39" s="251" t="s">
        <v>364</v>
      </c>
      <c r="AN39" s="249"/>
      <c r="AO39" s="249"/>
      <c r="AP39" s="251"/>
      <c r="AQ39" s="249"/>
      <c r="AR39" s="249"/>
      <c r="AS39" s="251"/>
      <c r="AT39" s="249"/>
      <c r="AU39" s="249"/>
      <c r="AV39" s="251"/>
      <c r="AW39" s="249"/>
      <c r="AX39" s="249"/>
    </row>
    <row r="40" spans="3:50" ht="12.75">
      <c r="C40" s="249" t="s">
        <v>477</v>
      </c>
      <c r="D40" s="257" t="s">
        <v>371</v>
      </c>
      <c r="E40" s="249"/>
      <c r="F40" s="254">
        <v>39</v>
      </c>
      <c r="G40" s="254" t="e">
        <f>IF(AND(#REF!&gt;0,#REF!&lt;2000),#REF!*F40,0)</f>
        <v>#REF!</v>
      </c>
      <c r="H40" s="254">
        <v>61</v>
      </c>
      <c r="I40" s="254" t="e">
        <f>IF(AND(#REF!&gt;0,#REF!&lt;2000),#REF!*H40,0)</f>
        <v>#REF!</v>
      </c>
      <c r="J40" s="254">
        <v>74</v>
      </c>
      <c r="K40" s="254" t="e">
        <f>IF(AND(#REF!&gt;0,#REF!&lt;2000),#REF!*J40,0)</f>
        <v>#REF!</v>
      </c>
      <c r="L40" s="254">
        <v>80</v>
      </c>
      <c r="M40" s="249" t="e">
        <f>IF(AND(#REF!&gt;0,#REF!&lt;2000),#REF!*L40,0)</f>
        <v>#REF!</v>
      </c>
      <c r="O40">
        <v>39</v>
      </c>
      <c r="P40" s="249" t="s">
        <v>481</v>
      </c>
      <c r="Q40">
        <v>2.3</v>
      </c>
      <c r="R40">
        <v>2.7</v>
      </c>
      <c r="S40">
        <v>3.5</v>
      </c>
      <c r="T40">
        <v>4.1</v>
      </c>
      <c r="U40">
        <v>4.6</v>
      </c>
      <c r="V40">
        <v>5.2</v>
      </c>
      <c r="W40">
        <v>5.8</v>
      </c>
      <c r="AA40">
        <f t="shared" si="2"/>
        <v>77</v>
      </c>
      <c r="AB40">
        <v>0.597</v>
      </c>
      <c r="AG40" t="s">
        <v>482</v>
      </c>
      <c r="AH40" t="s">
        <v>349</v>
      </c>
      <c r="AI40" t="str">
        <f t="shared" si="0"/>
        <v>CROSWELL   -----   A</v>
      </c>
      <c r="AK40" s="249" t="s">
        <v>348</v>
      </c>
      <c r="AM40" s="251" t="s">
        <v>364</v>
      </c>
      <c r="AN40" s="249"/>
      <c r="AO40" s="249"/>
      <c r="AP40" s="251"/>
      <c r="AQ40" s="249"/>
      <c r="AR40" s="249"/>
      <c r="AS40" s="251"/>
      <c r="AT40" s="249"/>
      <c r="AU40" s="249"/>
      <c r="AV40" s="251"/>
      <c r="AW40" s="249"/>
      <c r="AX40" s="249"/>
    </row>
    <row r="41" spans="3:50" ht="12.75">
      <c r="C41" s="249" t="s">
        <v>483</v>
      </c>
      <c r="D41" s="257" t="s">
        <v>363</v>
      </c>
      <c r="E41" s="249"/>
      <c r="F41" s="254">
        <v>30</v>
      </c>
      <c r="G41" s="254" t="e">
        <f>IF(AND(#REF!&gt;0,#REF!&lt;2000),#REF!*F41,0)</f>
        <v>#REF!</v>
      </c>
      <c r="H41" s="254">
        <v>58</v>
      </c>
      <c r="I41" s="254" t="e">
        <f>IF(AND(#REF!&gt;0,#REF!&lt;2000),#REF!*H41,0)</f>
        <v>#REF!</v>
      </c>
      <c r="J41" s="254">
        <v>71</v>
      </c>
      <c r="K41" s="254" t="e">
        <f>IF(AND(#REF!&gt;0,#REF!&lt;2000),#REF!*J41,0)</f>
        <v>#REF!</v>
      </c>
      <c r="L41" s="254">
        <v>78</v>
      </c>
      <c r="M41" s="249" t="e">
        <f>IF(AND(#REF!&gt;0,#REF!&lt;2000),#REF!*L41,0)</f>
        <v>#REF!</v>
      </c>
      <c r="O41">
        <v>40</v>
      </c>
      <c r="P41" s="249" t="s">
        <v>484</v>
      </c>
      <c r="Q41">
        <v>2.2</v>
      </c>
      <c r="R41">
        <v>2.5</v>
      </c>
      <c r="S41">
        <v>3.2</v>
      </c>
      <c r="T41">
        <v>3.7</v>
      </c>
      <c r="U41">
        <v>4.3</v>
      </c>
      <c r="V41">
        <v>4.8</v>
      </c>
      <c r="W41">
        <v>5.2</v>
      </c>
      <c r="AA41">
        <f t="shared" si="2"/>
        <v>78</v>
      </c>
      <c r="AB41">
        <v>0.564</v>
      </c>
      <c r="AG41" t="s">
        <v>485</v>
      </c>
      <c r="AH41" t="s">
        <v>350</v>
      </c>
      <c r="AI41" t="str">
        <f t="shared" si="0"/>
        <v>CUNARD   -----   B</v>
      </c>
      <c r="AK41" s="249" t="s">
        <v>348</v>
      </c>
      <c r="AM41" s="251" t="s">
        <v>364</v>
      </c>
      <c r="AN41" s="249"/>
      <c r="AO41" s="249"/>
      <c r="AP41" s="251"/>
      <c r="AQ41" s="249"/>
      <c r="AR41" s="249"/>
      <c r="AS41" s="251"/>
      <c r="AT41" s="249"/>
      <c r="AU41" s="249"/>
      <c r="AV41" s="251"/>
      <c r="AW41" s="249"/>
      <c r="AX41" s="249"/>
    </row>
    <row r="42" spans="3:50" ht="12.75">
      <c r="C42" s="249" t="s">
        <v>486</v>
      </c>
      <c r="D42" s="257" t="s">
        <v>368</v>
      </c>
      <c r="E42" s="249"/>
      <c r="F42" s="254">
        <v>48</v>
      </c>
      <c r="G42" s="254" t="e">
        <f>IF(AND(#REF!&gt;0,#REF!&lt;2000),#REF!*F42,0)</f>
        <v>#REF!</v>
      </c>
      <c r="H42" s="254">
        <v>67</v>
      </c>
      <c r="I42" s="254" t="e">
        <f>IF(AND(#REF!&gt;0,#REF!&lt;2000),#REF!*H42,0)</f>
        <v>#REF!</v>
      </c>
      <c r="J42" s="254">
        <v>77</v>
      </c>
      <c r="K42" s="254" t="e">
        <f>IF(AND(#REF!&gt;0,#REF!&lt;2000),#REF!*J42,0)</f>
        <v>#REF!</v>
      </c>
      <c r="L42" s="254">
        <v>83</v>
      </c>
      <c r="M42" s="249" t="e">
        <f>IF(AND(#REF!&gt;0,#REF!&lt;2000),#REF!*L42,0)</f>
        <v>#REF!</v>
      </c>
      <c r="O42">
        <v>41</v>
      </c>
      <c r="P42" s="249" t="s">
        <v>487</v>
      </c>
      <c r="Q42">
        <v>2.3</v>
      </c>
      <c r="R42">
        <v>2.7</v>
      </c>
      <c r="S42">
        <v>3.4</v>
      </c>
      <c r="T42">
        <v>3.9</v>
      </c>
      <c r="U42">
        <v>4.5</v>
      </c>
      <c r="V42">
        <v>5</v>
      </c>
      <c r="W42">
        <v>5.5</v>
      </c>
      <c r="AA42">
        <f t="shared" si="2"/>
        <v>79</v>
      </c>
      <c r="AB42">
        <v>0.532</v>
      </c>
      <c r="AG42" t="s">
        <v>488</v>
      </c>
      <c r="AH42" t="s">
        <v>378</v>
      </c>
      <c r="AI42" t="str">
        <f t="shared" si="0"/>
        <v>DANCY   -----   B/D</v>
      </c>
      <c r="AK42" s="249" t="s">
        <v>348</v>
      </c>
      <c r="AM42" s="251" t="s">
        <v>364</v>
      </c>
      <c r="AN42" s="249"/>
      <c r="AO42" s="249"/>
      <c r="AP42" s="251"/>
      <c r="AQ42" s="249"/>
      <c r="AR42" s="249"/>
      <c r="AS42" s="251"/>
      <c r="AT42" s="249"/>
      <c r="AU42" s="249"/>
      <c r="AV42" s="251"/>
      <c r="AW42" s="249"/>
      <c r="AX42" s="249"/>
    </row>
    <row r="43" spans="3:50" ht="12.75">
      <c r="C43" s="249" t="s">
        <v>489</v>
      </c>
      <c r="D43" s="257" t="s">
        <v>478</v>
      </c>
      <c r="E43" s="249"/>
      <c r="F43" s="254">
        <v>35</v>
      </c>
      <c r="G43" s="254" t="e">
        <f>IF(AND(#REF!&gt;0,#REF!&lt;2000),#REF!*F43,0)</f>
        <v>#REF!</v>
      </c>
      <c r="H43" s="254">
        <v>56</v>
      </c>
      <c r="I43" s="254" t="e">
        <f>IF(AND(#REF!&gt;0,#REF!&lt;2000),#REF!*H43,0)</f>
        <v>#REF!</v>
      </c>
      <c r="J43" s="254">
        <v>70</v>
      </c>
      <c r="K43" s="254" t="e">
        <f>IF(AND(#REF!&gt;0,#REF!&lt;2000),#REF!*J43,0)</f>
        <v>#REF!</v>
      </c>
      <c r="L43" s="254">
        <v>77</v>
      </c>
      <c r="M43" s="249" t="e">
        <f>IF(AND(#REF!&gt;0,#REF!&lt;2000),#REF!*L43,0)</f>
        <v>#REF!</v>
      </c>
      <c r="O43">
        <v>42</v>
      </c>
      <c r="P43" s="249" t="s">
        <v>490</v>
      </c>
      <c r="Q43">
        <v>2.5</v>
      </c>
      <c r="R43">
        <v>2.9</v>
      </c>
      <c r="S43">
        <v>3.7</v>
      </c>
      <c r="T43">
        <v>4.2</v>
      </c>
      <c r="U43">
        <v>4.8</v>
      </c>
      <c r="V43">
        <v>5.4</v>
      </c>
      <c r="W43">
        <v>6.1</v>
      </c>
      <c r="AA43">
        <f t="shared" si="2"/>
        <v>80</v>
      </c>
      <c r="AB43">
        <v>0.5</v>
      </c>
      <c r="AG43" t="s">
        <v>491</v>
      </c>
      <c r="AH43" t="s">
        <v>347</v>
      </c>
      <c r="AI43" t="str">
        <f t="shared" si="0"/>
        <v>DAWSON   -----   A/D</v>
      </c>
      <c r="AK43" s="249" t="s">
        <v>348</v>
      </c>
      <c r="AM43" s="251" t="s">
        <v>364</v>
      </c>
      <c r="AN43" s="249"/>
      <c r="AO43" s="249"/>
      <c r="AP43" s="251"/>
      <c r="AQ43" s="249"/>
      <c r="AR43" s="249"/>
      <c r="AS43" s="251"/>
      <c r="AT43" s="249"/>
      <c r="AU43" s="249"/>
      <c r="AV43" s="251"/>
      <c r="AW43" s="249"/>
      <c r="AX43" s="249"/>
    </row>
    <row r="44" spans="3:50" ht="12.75">
      <c r="C44" s="249" t="s">
        <v>489</v>
      </c>
      <c r="D44" s="257" t="s">
        <v>371</v>
      </c>
      <c r="E44" s="249"/>
      <c r="F44" s="254">
        <v>30</v>
      </c>
      <c r="G44" s="254" t="e">
        <f>IF(AND(#REF!&gt;0,#REF!&lt;2000),#REF!*F44,0)</f>
        <v>#REF!</v>
      </c>
      <c r="H44" s="254">
        <v>48</v>
      </c>
      <c r="I44" s="254" t="e">
        <f>IF(AND(#REF!&gt;0,#REF!&lt;2000),#REF!*H44,0)</f>
        <v>#REF!</v>
      </c>
      <c r="J44" s="254">
        <v>65</v>
      </c>
      <c r="K44" s="254" t="e">
        <f>IF(AND(#REF!&gt;0,#REF!&lt;2000),#REF!*J44,0)</f>
        <v>#REF!</v>
      </c>
      <c r="L44" s="254">
        <v>73</v>
      </c>
      <c r="M44" s="249" t="e">
        <f>IF(AND(#REF!&gt;0,#REF!&lt;2000),#REF!*L44,0)</f>
        <v>#REF!</v>
      </c>
      <c r="O44">
        <v>43</v>
      </c>
      <c r="P44" s="249" t="s">
        <v>492</v>
      </c>
      <c r="Q44">
        <v>2.2</v>
      </c>
      <c r="R44">
        <v>2.4</v>
      </c>
      <c r="S44">
        <v>3.2</v>
      </c>
      <c r="T44">
        <v>3.7</v>
      </c>
      <c r="U44">
        <v>4.2</v>
      </c>
      <c r="V44">
        <v>4.7</v>
      </c>
      <c r="W44">
        <v>5.1</v>
      </c>
      <c r="AA44">
        <f t="shared" si="2"/>
        <v>81</v>
      </c>
      <c r="AB44">
        <v>0.469</v>
      </c>
      <c r="AG44" t="s">
        <v>493</v>
      </c>
      <c r="AH44" t="s">
        <v>347</v>
      </c>
      <c r="AI44" t="str">
        <f t="shared" si="0"/>
        <v>DEFORD   -----   A/D</v>
      </c>
      <c r="AK44" s="249" t="s">
        <v>348</v>
      </c>
      <c r="AM44" s="251" t="s">
        <v>364</v>
      </c>
      <c r="AN44" s="249"/>
      <c r="AO44" s="249"/>
      <c r="AP44" s="251"/>
      <c r="AQ44" s="249"/>
      <c r="AR44" s="249"/>
      <c r="AS44" s="251"/>
      <c r="AT44" s="249"/>
      <c r="AU44" s="249"/>
      <c r="AV44" s="251"/>
      <c r="AW44" s="249"/>
      <c r="AX44" s="249"/>
    </row>
    <row r="45" spans="3:50" ht="12.75">
      <c r="C45" s="249" t="s">
        <v>494</v>
      </c>
      <c r="D45" s="257" t="s">
        <v>368</v>
      </c>
      <c r="E45" s="249"/>
      <c r="F45" s="254">
        <v>57</v>
      </c>
      <c r="G45" s="254" t="e">
        <f>IF(AND(#REF!&gt;0,#REF!&lt;2000),#REF!*F45,0)</f>
        <v>#REF!</v>
      </c>
      <c r="H45" s="254">
        <v>73</v>
      </c>
      <c r="I45" s="254" t="e">
        <f>IF(AND(#REF!&gt;0,#REF!&lt;2000),#REF!*H45,0)</f>
        <v>#REF!</v>
      </c>
      <c r="J45" s="254">
        <v>82</v>
      </c>
      <c r="K45" s="254" t="e">
        <f>IF(AND(#REF!&gt;0,#REF!&lt;2000),#REF!*J45,0)</f>
        <v>#REF!</v>
      </c>
      <c r="L45" s="254">
        <v>86</v>
      </c>
      <c r="M45" s="249" t="e">
        <f>IF(AND(#REF!&gt;0,#REF!&lt;2000),#REF!*L45,0)</f>
        <v>#REF!</v>
      </c>
      <c r="O45">
        <v>44</v>
      </c>
      <c r="P45" s="249" t="s">
        <v>495</v>
      </c>
      <c r="Q45">
        <v>2.2</v>
      </c>
      <c r="R45">
        <v>2.5</v>
      </c>
      <c r="S45">
        <v>3.3</v>
      </c>
      <c r="T45">
        <v>3.8</v>
      </c>
      <c r="U45">
        <v>4.3</v>
      </c>
      <c r="V45">
        <v>4.9</v>
      </c>
      <c r="W45">
        <v>5.3</v>
      </c>
      <c r="AA45">
        <f t="shared" si="2"/>
        <v>82</v>
      </c>
      <c r="AB45">
        <v>0.439</v>
      </c>
      <c r="AG45" t="s">
        <v>409</v>
      </c>
      <c r="AH45" t="s">
        <v>350</v>
      </c>
      <c r="AI45" t="str">
        <f t="shared" si="0"/>
        <v>DODGE   -----   B</v>
      </c>
      <c r="AK45" s="249" t="s">
        <v>348</v>
      </c>
      <c r="AM45" s="251" t="s">
        <v>364</v>
      </c>
      <c r="AN45" s="249"/>
      <c r="AO45" s="249"/>
      <c r="AP45" s="251"/>
      <c r="AQ45" s="249"/>
      <c r="AR45" s="249"/>
      <c r="AS45" s="251"/>
      <c r="AT45" s="249"/>
      <c r="AU45" s="249"/>
      <c r="AV45" s="251"/>
      <c r="AW45" s="249"/>
      <c r="AX45" s="249"/>
    </row>
    <row r="46" spans="3:50" ht="12.75">
      <c r="C46" s="249" t="s">
        <v>496</v>
      </c>
      <c r="D46" s="257" t="s">
        <v>478</v>
      </c>
      <c r="E46" s="249"/>
      <c r="F46" s="254">
        <v>43</v>
      </c>
      <c r="G46" s="254" t="e">
        <f>IF(AND(#REF!&gt;0,#REF!&lt;2000),#REF!*F46,0)</f>
        <v>#REF!</v>
      </c>
      <c r="H46" s="254">
        <v>65</v>
      </c>
      <c r="I46" s="254" t="e">
        <f>IF(AND(#REF!&gt;0,#REF!&lt;2000),#REF!*H46,0)</f>
        <v>#REF!</v>
      </c>
      <c r="J46" s="254">
        <v>76</v>
      </c>
      <c r="K46" s="254" t="e">
        <f>IF(AND(#REF!&gt;0,#REF!&lt;2000),#REF!*J46,0)</f>
        <v>#REF!</v>
      </c>
      <c r="L46" s="254">
        <v>82</v>
      </c>
      <c r="M46" s="249" t="e">
        <f>IF(AND(#REF!&gt;0,#REF!&lt;2000),#REF!*L46,0)</f>
        <v>#REF!</v>
      </c>
      <c r="O46">
        <v>45</v>
      </c>
      <c r="P46" s="249" t="s">
        <v>497</v>
      </c>
      <c r="Q46">
        <v>2.2</v>
      </c>
      <c r="R46">
        <v>2.5</v>
      </c>
      <c r="S46">
        <v>3.3</v>
      </c>
      <c r="T46">
        <v>3.8</v>
      </c>
      <c r="U46">
        <v>4.4</v>
      </c>
      <c r="V46">
        <v>4.9</v>
      </c>
      <c r="W46">
        <v>5.3</v>
      </c>
      <c r="AA46">
        <f t="shared" si="2"/>
        <v>83</v>
      </c>
      <c r="AB46">
        <v>0.41</v>
      </c>
      <c r="AG46" t="s">
        <v>498</v>
      </c>
      <c r="AH46" t="s">
        <v>351</v>
      </c>
      <c r="AI46" t="str">
        <f t="shared" si="0"/>
        <v>DOLPH   -----   C</v>
      </c>
      <c r="AK46" s="249" t="s">
        <v>348</v>
      </c>
      <c r="AM46" s="251" t="s">
        <v>364</v>
      </c>
      <c r="AN46" s="249"/>
      <c r="AO46" s="249"/>
      <c r="AP46" s="251"/>
      <c r="AQ46" s="249"/>
      <c r="AR46" s="249"/>
      <c r="AS46" s="251"/>
      <c r="AT46" s="249"/>
      <c r="AU46" s="249"/>
      <c r="AV46" s="251"/>
      <c r="AW46" s="249"/>
      <c r="AX46" s="249"/>
    </row>
    <row r="47" spans="3:50" ht="12.75">
      <c r="C47" s="249" t="s">
        <v>496</v>
      </c>
      <c r="D47" s="257" t="s">
        <v>371</v>
      </c>
      <c r="E47" s="249"/>
      <c r="F47" s="254">
        <v>32</v>
      </c>
      <c r="G47" s="254" t="e">
        <f>IF(AND(#REF!&gt;0,#REF!&lt;2000),#REF!*F47,0)</f>
        <v>#REF!</v>
      </c>
      <c r="H47" s="254">
        <v>58</v>
      </c>
      <c r="I47" s="254" t="e">
        <f>IF(AND(#REF!&gt;0,#REF!&lt;2000),#REF!*H47,0)</f>
        <v>#REF!</v>
      </c>
      <c r="J47" s="254">
        <v>72</v>
      </c>
      <c r="K47" s="254" t="e">
        <f>IF(AND(#REF!&gt;0,#REF!&lt;2000),#REF!*J47,0)</f>
        <v>#REF!</v>
      </c>
      <c r="L47" s="254">
        <v>79</v>
      </c>
      <c r="M47" s="249" t="e">
        <f>IF(AND(#REF!&gt;0,#REF!&lt;2000),#REF!*L47,0)</f>
        <v>#REF!</v>
      </c>
      <c r="O47">
        <v>46</v>
      </c>
      <c r="P47" s="249" t="s">
        <v>499</v>
      </c>
      <c r="Q47">
        <v>2.3</v>
      </c>
      <c r="R47">
        <v>2.6</v>
      </c>
      <c r="S47">
        <v>3.4</v>
      </c>
      <c r="T47">
        <v>3.9</v>
      </c>
      <c r="U47">
        <v>4.4</v>
      </c>
      <c r="V47">
        <v>5</v>
      </c>
      <c r="W47">
        <v>5.4</v>
      </c>
      <c r="AA47">
        <f t="shared" si="2"/>
        <v>84</v>
      </c>
      <c r="AB47">
        <v>0.381</v>
      </c>
      <c r="AG47" t="s">
        <v>500</v>
      </c>
      <c r="AH47" t="s">
        <v>350</v>
      </c>
      <c r="AI47" t="str">
        <f t="shared" si="0"/>
        <v>DRESDEN   -----   B</v>
      </c>
      <c r="AK47" s="249" t="s">
        <v>348</v>
      </c>
      <c r="AM47" s="251" t="s">
        <v>364</v>
      </c>
      <c r="AN47" s="249"/>
      <c r="AO47" s="249"/>
      <c r="AP47" s="251"/>
      <c r="AQ47" s="249"/>
      <c r="AR47" s="249"/>
      <c r="AS47" s="251"/>
      <c r="AT47" s="249"/>
      <c r="AU47" s="249"/>
      <c r="AV47" s="251"/>
      <c r="AW47" s="249"/>
      <c r="AX47" s="249"/>
    </row>
    <row r="48" spans="3:50" ht="12.75">
      <c r="C48" s="249" t="s">
        <v>501</v>
      </c>
      <c r="D48" s="257" t="s">
        <v>368</v>
      </c>
      <c r="E48" s="249"/>
      <c r="F48" s="254">
        <v>45</v>
      </c>
      <c r="G48" s="254" t="e">
        <f>IF(AND(#REF!&gt;0,#REF!&lt;2000),#REF!*F48,0)</f>
        <v>#REF!</v>
      </c>
      <c r="H48" s="254">
        <v>66</v>
      </c>
      <c r="I48" s="254" t="e">
        <f>IF(AND(#REF!&gt;0,#REF!&lt;2000),#REF!*H48,0)</f>
        <v>#REF!</v>
      </c>
      <c r="J48" s="254">
        <v>77</v>
      </c>
      <c r="K48" s="254" t="e">
        <f>IF(AND(#REF!&gt;0,#REF!&lt;2000),#REF!*J48,0)</f>
        <v>#REF!</v>
      </c>
      <c r="L48" s="254">
        <v>83</v>
      </c>
      <c r="M48" s="249" t="e">
        <f>IF(AND(#REF!&gt;0,#REF!&lt;2000),#REF!*L48,0)</f>
        <v>#REF!</v>
      </c>
      <c r="O48">
        <v>47</v>
      </c>
      <c r="P48" s="249" t="s">
        <v>502</v>
      </c>
      <c r="Q48">
        <v>2.4</v>
      </c>
      <c r="R48">
        <v>2.8</v>
      </c>
      <c r="S48">
        <v>3.6</v>
      </c>
      <c r="T48">
        <v>4.3</v>
      </c>
      <c r="U48">
        <v>4.8</v>
      </c>
      <c r="V48">
        <v>5.4</v>
      </c>
      <c r="W48">
        <v>6</v>
      </c>
      <c r="AA48">
        <f t="shared" si="2"/>
        <v>85</v>
      </c>
      <c r="AB48">
        <v>0.353</v>
      </c>
      <c r="AG48" t="s">
        <v>503</v>
      </c>
      <c r="AH48" t="s">
        <v>350</v>
      </c>
      <c r="AI48" t="str">
        <f t="shared" si="0"/>
        <v>DRESDEN VARIANT   -----   B</v>
      </c>
      <c r="AK48" s="249" t="s">
        <v>348</v>
      </c>
      <c r="AM48" s="251" t="s">
        <v>364</v>
      </c>
      <c r="AN48" s="249"/>
      <c r="AO48" s="249"/>
      <c r="AP48" s="251"/>
      <c r="AQ48" s="249"/>
      <c r="AR48" s="249"/>
      <c r="AS48" s="251"/>
      <c r="AT48" s="249"/>
      <c r="AU48" s="249"/>
      <c r="AV48" s="251"/>
      <c r="AW48" s="249"/>
      <c r="AX48" s="249"/>
    </row>
    <row r="49" spans="3:50" ht="12.75">
      <c r="C49" s="249" t="s">
        <v>504</v>
      </c>
      <c r="D49" s="257" t="s">
        <v>478</v>
      </c>
      <c r="E49" s="249"/>
      <c r="F49" s="254">
        <v>36</v>
      </c>
      <c r="G49" s="254" t="e">
        <f>IF(AND(#REF!&gt;0,#REF!&lt;2000),#REF!*F49,0)</f>
        <v>#REF!</v>
      </c>
      <c r="H49" s="254">
        <v>60</v>
      </c>
      <c r="I49" s="254" t="e">
        <f>IF(AND(#REF!&gt;0,#REF!&lt;2000),#REF!*H49,0)</f>
        <v>#REF!</v>
      </c>
      <c r="J49" s="254">
        <v>73</v>
      </c>
      <c r="K49" s="254" t="e">
        <f>IF(AND(#REF!&gt;0,#REF!&lt;2000),#REF!*J49,0)</f>
        <v>#REF!</v>
      </c>
      <c r="L49" s="254">
        <v>79</v>
      </c>
      <c r="M49" s="249" t="e">
        <f>IF(AND(#REF!&gt;0,#REF!&lt;2000),#REF!*L49,0)</f>
        <v>#REF!</v>
      </c>
      <c r="O49">
        <v>48</v>
      </c>
      <c r="P49" s="249" t="s">
        <v>505</v>
      </c>
      <c r="Q49">
        <v>2.4</v>
      </c>
      <c r="R49">
        <v>2.8</v>
      </c>
      <c r="S49">
        <v>3.6</v>
      </c>
      <c r="T49">
        <v>4.2</v>
      </c>
      <c r="U49">
        <v>4.8</v>
      </c>
      <c r="V49">
        <v>5.4</v>
      </c>
      <c r="W49">
        <v>6</v>
      </c>
      <c r="AA49">
        <f t="shared" si="2"/>
        <v>86</v>
      </c>
      <c r="AB49">
        <v>0.326</v>
      </c>
      <c r="AG49" t="s">
        <v>506</v>
      </c>
      <c r="AH49" t="s">
        <v>349</v>
      </c>
      <c r="AI49" t="str">
        <f t="shared" si="0"/>
        <v>DUEL   -----   A</v>
      </c>
      <c r="AK49" s="249" t="s">
        <v>348</v>
      </c>
      <c r="AM49" s="251" t="s">
        <v>364</v>
      </c>
      <c r="AN49" s="249"/>
      <c r="AO49" s="249"/>
      <c r="AP49" s="251"/>
      <c r="AQ49" s="249"/>
      <c r="AR49" s="249"/>
      <c r="AS49" s="251"/>
      <c r="AT49" s="249"/>
      <c r="AU49" s="249"/>
      <c r="AV49" s="251"/>
      <c r="AW49" s="249"/>
      <c r="AX49" s="249"/>
    </row>
    <row r="50" spans="3:50" ht="12.75">
      <c r="C50" s="249" t="s">
        <v>504</v>
      </c>
      <c r="D50" s="257" t="s">
        <v>371</v>
      </c>
      <c r="E50" s="249"/>
      <c r="F50" s="249">
        <v>30</v>
      </c>
      <c r="G50" s="249" t="e">
        <f>IF(AND(#REF!&gt;0,#REF!&lt;2000),#REF!*F50,0)</f>
        <v>#REF!</v>
      </c>
      <c r="H50" s="249">
        <v>55</v>
      </c>
      <c r="I50" s="249" t="e">
        <f>IF(AND(#REF!&gt;0,#REF!&lt;2000),#REF!*H50,0)</f>
        <v>#REF!</v>
      </c>
      <c r="J50" s="249">
        <v>70</v>
      </c>
      <c r="K50" s="249" t="e">
        <f>IF(AND(#REF!&gt;0,#REF!&lt;2000),#REF!*J50,0)</f>
        <v>#REF!</v>
      </c>
      <c r="L50" s="249">
        <v>77</v>
      </c>
      <c r="M50" s="249" t="e">
        <f>IF(AND(#REF!&gt;0,#REF!&lt;2000),#REF!*L50,0)</f>
        <v>#REF!</v>
      </c>
      <c r="O50">
        <v>49</v>
      </c>
      <c r="P50" s="249" t="s">
        <v>507</v>
      </c>
      <c r="Q50">
        <v>2.3</v>
      </c>
      <c r="R50">
        <v>2.7</v>
      </c>
      <c r="S50">
        <v>3.5</v>
      </c>
      <c r="T50">
        <v>4.1</v>
      </c>
      <c r="U50">
        <v>4.7</v>
      </c>
      <c r="V50">
        <v>5.2</v>
      </c>
      <c r="W50">
        <v>5.8</v>
      </c>
      <c r="AA50">
        <f t="shared" si="2"/>
        <v>87</v>
      </c>
      <c r="AB50">
        <v>0.299</v>
      </c>
      <c r="AG50" t="s">
        <v>508</v>
      </c>
      <c r="AH50" t="s">
        <v>352</v>
      </c>
      <c r="AI50" t="str">
        <f t="shared" si="0"/>
        <v>DUEL VARIANT   -----   D</v>
      </c>
      <c r="AK50" s="249" t="s">
        <v>348</v>
      </c>
      <c r="AM50" s="251" t="s">
        <v>364</v>
      </c>
      <c r="AN50" s="249"/>
      <c r="AO50" s="249"/>
      <c r="AP50" s="251"/>
      <c r="AQ50" s="249"/>
      <c r="AR50" s="249"/>
      <c r="AS50" s="251"/>
      <c r="AT50" s="249"/>
      <c r="AU50" s="249"/>
      <c r="AV50" s="251"/>
      <c r="AW50" s="249"/>
      <c r="AX50" s="249"/>
    </row>
    <row r="51" spans="3:50" ht="12.75">
      <c r="C51" s="249" t="s">
        <v>509</v>
      </c>
      <c r="D51" s="257" t="s">
        <v>363</v>
      </c>
      <c r="E51" s="249"/>
      <c r="F51" s="249">
        <v>59</v>
      </c>
      <c r="G51" s="249" t="e">
        <f>IF(AND(#REF!&gt;0,#REF!&lt;2000),#REF!*F51,0)</f>
        <v>#REF!</v>
      </c>
      <c r="H51" s="249">
        <v>74</v>
      </c>
      <c r="I51" s="249" t="e">
        <f>IF(AND(#REF!&gt;0,#REF!&lt;2000),#REF!*H51,0)</f>
        <v>#REF!</v>
      </c>
      <c r="J51" s="249">
        <v>82</v>
      </c>
      <c r="K51" s="249" t="e">
        <f>IF(AND(#REF!&gt;0,#REF!&lt;2000),#REF!*J51,0)</f>
        <v>#REF!</v>
      </c>
      <c r="L51" s="249">
        <v>86</v>
      </c>
      <c r="M51" s="249" t="e">
        <f>IF(AND(#REF!&gt;0,#REF!&lt;2000),#REF!*L51,0)</f>
        <v>#REF!</v>
      </c>
      <c r="O51">
        <v>50</v>
      </c>
      <c r="P51" s="249" t="s">
        <v>510</v>
      </c>
      <c r="Q51">
        <v>2.3</v>
      </c>
      <c r="R51">
        <v>2.7</v>
      </c>
      <c r="S51">
        <v>3.5</v>
      </c>
      <c r="T51">
        <v>4</v>
      </c>
      <c r="U51">
        <v>4.5</v>
      </c>
      <c r="V51">
        <v>5.1</v>
      </c>
      <c r="W51">
        <v>5.7</v>
      </c>
      <c r="AA51">
        <f t="shared" si="2"/>
        <v>88</v>
      </c>
      <c r="AB51">
        <v>0.273</v>
      </c>
      <c r="AG51" t="s">
        <v>511</v>
      </c>
      <c r="AH51" t="s">
        <v>350</v>
      </c>
      <c r="AI51" t="str">
        <f t="shared" si="0"/>
        <v>DUNNVILLE   -----   B</v>
      </c>
      <c r="AK51" s="249" t="s">
        <v>348</v>
      </c>
      <c r="AM51" s="251" t="s">
        <v>364</v>
      </c>
      <c r="AN51" s="249"/>
      <c r="AO51" s="249"/>
      <c r="AP51" s="251"/>
      <c r="AQ51" s="249"/>
      <c r="AR51" s="249"/>
      <c r="AS51" s="251"/>
      <c r="AT51" s="249"/>
      <c r="AU51" s="249"/>
      <c r="AV51" s="251"/>
      <c r="AW51" s="249"/>
      <c r="AX51" s="249"/>
    </row>
    <row r="52" spans="2:37" ht="12.75">
      <c r="B52" s="249" t="s">
        <v>512</v>
      </c>
      <c r="O52">
        <v>51</v>
      </c>
      <c r="P52" s="249" t="s">
        <v>513</v>
      </c>
      <c r="Q52">
        <v>2.3</v>
      </c>
      <c r="R52">
        <v>2.6</v>
      </c>
      <c r="S52">
        <v>3.4</v>
      </c>
      <c r="T52">
        <v>4</v>
      </c>
      <c r="U52">
        <v>4.4</v>
      </c>
      <c r="V52">
        <v>5.1</v>
      </c>
      <c r="W52">
        <v>5.5</v>
      </c>
      <c r="AA52">
        <f t="shared" si="2"/>
        <v>89</v>
      </c>
      <c r="AB52">
        <v>0.247</v>
      </c>
      <c r="AG52" t="s">
        <v>514</v>
      </c>
      <c r="AH52" t="s">
        <v>350</v>
      </c>
      <c r="AI52" t="str">
        <f t="shared" si="0"/>
        <v>DUNNVILLE VARIAN   -----   B</v>
      </c>
      <c r="AK52" s="249" t="s">
        <v>348</v>
      </c>
    </row>
    <row r="53" spans="2:50" ht="12.75">
      <c r="B53" s="249" t="s">
        <v>515</v>
      </c>
      <c r="F53" s="249" t="s">
        <v>358</v>
      </c>
      <c r="G53" s="249"/>
      <c r="H53" s="249" t="s">
        <v>358</v>
      </c>
      <c r="I53" s="249"/>
      <c r="J53" s="249" t="s">
        <v>358</v>
      </c>
      <c r="K53" s="249"/>
      <c r="L53" s="253" t="s">
        <v>358</v>
      </c>
      <c r="M53" s="249"/>
      <c r="O53">
        <v>52</v>
      </c>
      <c r="P53" s="249" t="s">
        <v>516</v>
      </c>
      <c r="Q53">
        <v>2.3</v>
      </c>
      <c r="R53">
        <v>2.7</v>
      </c>
      <c r="S53">
        <v>3.4</v>
      </c>
      <c r="T53">
        <v>4</v>
      </c>
      <c r="U53">
        <v>4.6</v>
      </c>
      <c r="V53">
        <v>5.1</v>
      </c>
      <c r="W53">
        <v>5.6</v>
      </c>
      <c r="AA53">
        <f t="shared" si="2"/>
        <v>90</v>
      </c>
      <c r="AB53">
        <v>0.222</v>
      </c>
      <c r="AG53" t="s">
        <v>517</v>
      </c>
      <c r="AH53" t="s">
        <v>378</v>
      </c>
      <c r="AI53" t="str">
        <f t="shared" si="0"/>
        <v>EDWARDS   -----   B/D</v>
      </c>
      <c r="AK53" s="249" t="s">
        <v>348</v>
      </c>
      <c r="AN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</row>
    <row r="54" spans="3:50" ht="12.75">
      <c r="C54" s="249" t="s">
        <v>518</v>
      </c>
      <c r="D54" s="249"/>
      <c r="E54" s="249"/>
      <c r="F54" s="249">
        <v>68</v>
      </c>
      <c r="G54" s="249" t="e">
        <f>IF(AND(#REF!&gt;0,#REF!&lt;2000),#REF!*F54,0)</f>
        <v>#REF!</v>
      </c>
      <c r="H54" s="249">
        <v>79</v>
      </c>
      <c r="I54" s="249" t="e">
        <f>IF(AND(#REF!&gt;0,#REF!&lt;2000),#REF!*H54,0)</f>
        <v>#REF!</v>
      </c>
      <c r="J54" s="249">
        <v>86</v>
      </c>
      <c r="K54" s="249" t="e">
        <f>IF(AND(#REF!&gt;0,#REF!&lt;2000),#REF!*J54,0)</f>
        <v>#REF!</v>
      </c>
      <c r="L54" s="249">
        <v>89</v>
      </c>
      <c r="M54" s="249" t="e">
        <f>IF(AND(#REF!&gt;0,#REF!&lt;2000),#REF!*L54,0)</f>
        <v>#REF!</v>
      </c>
      <c r="O54">
        <v>53</v>
      </c>
      <c r="P54" s="249" t="s">
        <v>519</v>
      </c>
      <c r="Q54">
        <v>2.5</v>
      </c>
      <c r="R54">
        <v>2.9</v>
      </c>
      <c r="S54">
        <v>3.7</v>
      </c>
      <c r="T54">
        <v>4.3</v>
      </c>
      <c r="U54">
        <v>4.9</v>
      </c>
      <c r="V54">
        <v>5.4</v>
      </c>
      <c r="W54">
        <v>6.2</v>
      </c>
      <c r="AA54">
        <f t="shared" si="2"/>
        <v>91</v>
      </c>
      <c r="AB54">
        <v>0.198</v>
      </c>
      <c r="AG54" t="s">
        <v>520</v>
      </c>
      <c r="AH54" t="s">
        <v>350</v>
      </c>
      <c r="AI54" t="str">
        <f t="shared" si="0"/>
        <v>ELDERON   -----   B</v>
      </c>
      <c r="AK54" s="249" t="s">
        <v>348</v>
      </c>
      <c r="AM54" s="251" t="s">
        <v>364</v>
      </c>
      <c r="AN54" s="249"/>
      <c r="AO54" s="249"/>
      <c r="AP54" s="251"/>
      <c r="AQ54" s="249"/>
      <c r="AR54" s="249"/>
      <c r="AS54" s="251"/>
      <c r="AT54" s="249"/>
      <c r="AU54" s="249"/>
      <c r="AV54" s="251"/>
      <c r="AW54" s="249"/>
      <c r="AX54" s="249"/>
    </row>
    <row r="55" spans="3:50" ht="12.75">
      <c r="C55" s="249" t="s">
        <v>521</v>
      </c>
      <c r="D55" s="249"/>
      <c r="E55" s="249"/>
      <c r="F55" s="249">
        <v>49</v>
      </c>
      <c r="G55" s="249" t="e">
        <f>IF(AND(#REF!&gt;0,#REF!&lt;2000),#REF!*F55,0)</f>
        <v>#REF!</v>
      </c>
      <c r="H55" s="249">
        <v>69</v>
      </c>
      <c r="I55" s="249" t="e">
        <f>IF(AND(#REF!&gt;0,#REF!&lt;2000),#REF!*H55,0)</f>
        <v>#REF!</v>
      </c>
      <c r="J55" s="249">
        <v>79</v>
      </c>
      <c r="K55" s="249" t="e">
        <f>IF(AND(#REF!&gt;0,#REF!&lt;2000),#REF!*J55,0)</f>
        <v>#REF!</v>
      </c>
      <c r="L55" s="249">
        <v>84</v>
      </c>
      <c r="M55" s="249" t="e">
        <f>IF(AND(#REF!&gt;0,#REF!&lt;2000),#REF!*L55,0)</f>
        <v>#REF!</v>
      </c>
      <c r="O55">
        <v>54</v>
      </c>
      <c r="P55" s="249" t="s">
        <v>522</v>
      </c>
      <c r="Q55">
        <v>2.5</v>
      </c>
      <c r="R55">
        <v>2.9</v>
      </c>
      <c r="S55">
        <v>3.7</v>
      </c>
      <c r="T55">
        <v>4.1</v>
      </c>
      <c r="U55">
        <v>4.7</v>
      </c>
      <c r="V55">
        <v>5.3</v>
      </c>
      <c r="W55">
        <v>6</v>
      </c>
      <c r="AA55">
        <f t="shared" si="2"/>
        <v>92</v>
      </c>
      <c r="AB55">
        <v>0.174</v>
      </c>
      <c r="AG55" t="s">
        <v>520</v>
      </c>
      <c r="AH55" t="s">
        <v>349</v>
      </c>
      <c r="AI55" t="str">
        <f t="shared" si="0"/>
        <v>ELDERON   -----   A</v>
      </c>
      <c r="AK55" s="249" t="s">
        <v>348</v>
      </c>
      <c r="AM55" s="251" t="s">
        <v>364</v>
      </c>
      <c r="AN55" s="249"/>
      <c r="AO55" s="249"/>
      <c r="AP55" s="251"/>
      <c r="AQ55" s="249"/>
      <c r="AR55" s="249"/>
      <c r="AS55" s="251"/>
      <c r="AT55" s="249"/>
      <c r="AU55" s="249"/>
      <c r="AV55" s="251"/>
      <c r="AW55" s="249"/>
      <c r="AX55" s="249"/>
    </row>
    <row r="56" spans="3:50" ht="12.75">
      <c r="C56" s="249" t="s">
        <v>523</v>
      </c>
      <c r="D56" s="249"/>
      <c r="E56" s="249"/>
      <c r="F56" s="249">
        <v>39</v>
      </c>
      <c r="G56" s="249" t="e">
        <f>IF(AND(#REF!&gt;0,#REF!&lt;2000),#REF!*F56,0)</f>
        <v>#REF!</v>
      </c>
      <c r="H56" s="249">
        <v>61</v>
      </c>
      <c r="I56" s="249" t="e">
        <f>IF(AND(#REF!&gt;0,#REF!&lt;2000),#REF!*H56,0)</f>
        <v>#REF!</v>
      </c>
      <c r="J56" s="249">
        <v>74</v>
      </c>
      <c r="K56" s="249" t="e">
        <f>IF(AND(#REF!&gt;0,#REF!&lt;2000),#REF!*J56,0)</f>
        <v>#REF!</v>
      </c>
      <c r="L56" s="249">
        <v>80</v>
      </c>
      <c r="M56" s="249" t="e">
        <f>IF(AND(#REF!&gt;0,#REF!&lt;2000),#REF!*L56,0)</f>
        <v>#REF!</v>
      </c>
      <c r="O56">
        <v>55</v>
      </c>
      <c r="P56" s="249" t="s">
        <v>524</v>
      </c>
      <c r="Q56">
        <v>2.3</v>
      </c>
      <c r="R56">
        <v>2.7</v>
      </c>
      <c r="S56">
        <v>3.5</v>
      </c>
      <c r="T56">
        <v>4.1</v>
      </c>
      <c r="U56">
        <v>4.6</v>
      </c>
      <c r="V56">
        <v>5.1</v>
      </c>
      <c r="W56">
        <v>5.7</v>
      </c>
      <c r="AA56">
        <f t="shared" si="2"/>
        <v>93</v>
      </c>
      <c r="AB56">
        <v>0.151</v>
      </c>
      <c r="AG56" t="s">
        <v>525</v>
      </c>
      <c r="AH56" t="s">
        <v>350</v>
      </c>
      <c r="AI56" t="str">
        <f t="shared" si="0"/>
        <v>ELEVA   -----   B</v>
      </c>
      <c r="AK56" s="249" t="s">
        <v>348</v>
      </c>
      <c r="AM56" s="251" t="s">
        <v>364</v>
      </c>
      <c r="AN56" s="249"/>
      <c r="AO56" s="249"/>
      <c r="AP56" s="251"/>
      <c r="AQ56" s="249"/>
      <c r="AR56" s="249"/>
      <c r="AS56" s="251"/>
      <c r="AT56" s="249"/>
      <c r="AU56" s="249"/>
      <c r="AV56" s="251"/>
      <c r="AW56" s="249"/>
      <c r="AX56" s="249"/>
    </row>
    <row r="57" spans="2:50" ht="12.75">
      <c r="B57" s="249" t="s">
        <v>526</v>
      </c>
      <c r="F57" s="249" t="s">
        <v>358</v>
      </c>
      <c r="G57" s="249" t="e">
        <f>IF(AND(#REF!&gt;0,#REF!&lt;2000),#REF!*F57,0)</f>
        <v>#REF!</v>
      </c>
      <c r="H57" s="249" t="s">
        <v>358</v>
      </c>
      <c r="I57" s="249" t="e">
        <f>IF(AND(#REF!&gt;0,#REF!&lt;2000),#REF!*H57,0)</f>
        <v>#REF!</v>
      </c>
      <c r="J57" s="253" t="s">
        <v>358</v>
      </c>
      <c r="K57" s="249" t="e">
        <f>IF(AND(#REF!&gt;0,#REF!&lt;2000),#REF!*J57,0)</f>
        <v>#REF!</v>
      </c>
      <c r="L57" s="253" t="s">
        <v>358</v>
      </c>
      <c r="M57" s="249" t="e">
        <f>IF(AND(#REF!&gt;0,#REF!&lt;2000),#REF!*L57,0)</f>
        <v>#REF!</v>
      </c>
      <c r="O57">
        <v>56</v>
      </c>
      <c r="P57" s="249" t="s">
        <v>527</v>
      </c>
      <c r="Q57">
        <v>2.4</v>
      </c>
      <c r="R57">
        <v>2.8</v>
      </c>
      <c r="S57">
        <v>3.6</v>
      </c>
      <c r="T57">
        <v>4.2</v>
      </c>
      <c r="U57">
        <v>4.7</v>
      </c>
      <c r="V57">
        <v>5.3</v>
      </c>
      <c r="W57">
        <v>5.9</v>
      </c>
      <c r="AA57">
        <f t="shared" si="2"/>
        <v>94</v>
      </c>
      <c r="AB57">
        <v>0.128</v>
      </c>
      <c r="AG57" t="s">
        <v>528</v>
      </c>
      <c r="AH57" t="s">
        <v>349</v>
      </c>
      <c r="AI57" t="str">
        <f t="shared" si="0"/>
        <v>EMMERT   -----   A</v>
      </c>
      <c r="AK57" s="249" t="s">
        <v>348</v>
      </c>
      <c r="AN57" s="249"/>
      <c r="AO57" s="249"/>
      <c r="AP57" s="249"/>
      <c r="AQ57" s="249"/>
      <c r="AR57" s="249"/>
      <c r="AS57" s="249"/>
      <c r="AT57" s="249"/>
      <c r="AU57" s="249"/>
      <c r="AV57" s="249"/>
      <c r="AW57" s="249"/>
      <c r="AX57" s="249"/>
    </row>
    <row r="58" spans="3:50" ht="12.75">
      <c r="C58" s="249" t="s">
        <v>529</v>
      </c>
      <c r="D58" s="249"/>
      <c r="E58" s="249"/>
      <c r="F58" s="249">
        <v>98</v>
      </c>
      <c r="G58" s="249" t="e">
        <f>IF(AND(#REF!&gt;0,#REF!&lt;2000),#REF!*F58,0)</f>
        <v>#REF!</v>
      </c>
      <c r="H58" s="249">
        <v>98</v>
      </c>
      <c r="I58" s="249" t="e">
        <f>IF(AND(#REF!&gt;0,#REF!&lt;2000),#REF!*H58,0)</f>
        <v>#REF!</v>
      </c>
      <c r="J58" s="249">
        <v>98</v>
      </c>
      <c r="K58" s="249" t="e">
        <f>IF(AND(#REF!&gt;0,#REF!&lt;2000),#REF!*J58,0)</f>
        <v>#REF!</v>
      </c>
      <c r="L58" s="249">
        <v>98</v>
      </c>
      <c r="M58" s="249" t="e">
        <f>IF(AND(#REF!&gt;0,#REF!&lt;2000),#REF!*L58,0)</f>
        <v>#REF!</v>
      </c>
      <c r="O58">
        <v>57</v>
      </c>
      <c r="P58" s="249" t="s">
        <v>530</v>
      </c>
      <c r="Q58">
        <v>2.5</v>
      </c>
      <c r="R58">
        <v>2.9</v>
      </c>
      <c r="S58">
        <v>3.7</v>
      </c>
      <c r="T58">
        <v>4.2</v>
      </c>
      <c r="U58">
        <v>4.8</v>
      </c>
      <c r="V58">
        <v>5.3</v>
      </c>
      <c r="W58">
        <v>6.1</v>
      </c>
      <c r="AA58">
        <f t="shared" si="2"/>
        <v>95</v>
      </c>
      <c r="AB58">
        <v>0.105</v>
      </c>
      <c r="AG58" t="s">
        <v>531</v>
      </c>
      <c r="AH58" t="s">
        <v>350</v>
      </c>
      <c r="AI58" t="str">
        <f t="shared" si="0"/>
        <v>EMMET   -----   B</v>
      </c>
      <c r="AK58" s="249" t="s">
        <v>348</v>
      </c>
      <c r="AM58" s="251" t="s">
        <v>364</v>
      </c>
      <c r="AN58" s="249"/>
      <c r="AO58" s="249"/>
      <c r="AP58" s="251"/>
      <c r="AQ58" s="249"/>
      <c r="AR58" s="249"/>
      <c r="AS58" s="251"/>
      <c r="AT58" s="249"/>
      <c r="AU58" s="249"/>
      <c r="AV58" s="251"/>
      <c r="AW58" s="249"/>
      <c r="AX58" s="249"/>
    </row>
    <row r="59" spans="3:50" ht="12.75">
      <c r="C59" s="249" t="s">
        <v>532</v>
      </c>
      <c r="F59" s="249" t="s">
        <v>358</v>
      </c>
      <c r="G59" s="249" t="e">
        <f>IF(AND(#REF!&gt;0,#REF!&lt;2000),#REF!*F59,0)</f>
        <v>#REF!</v>
      </c>
      <c r="H59" s="249" t="s">
        <v>358</v>
      </c>
      <c r="I59" s="249" t="e">
        <f>IF(AND(#REF!&gt;0,#REF!&lt;2000),#REF!*H59,0)</f>
        <v>#REF!</v>
      </c>
      <c r="J59" s="253" t="s">
        <v>358</v>
      </c>
      <c r="K59" s="249" t="e">
        <f>IF(AND(#REF!&gt;0,#REF!&lt;2000),#REF!*J59,0)</f>
        <v>#REF!</v>
      </c>
      <c r="L59" s="253" t="s">
        <v>358</v>
      </c>
      <c r="M59" s="249" t="e">
        <f>IF(AND(#REF!&gt;0,#REF!&lt;2000),#REF!*L59,0)</f>
        <v>#REF!</v>
      </c>
      <c r="O59">
        <v>58</v>
      </c>
      <c r="P59" s="249" t="s">
        <v>533</v>
      </c>
      <c r="Q59">
        <v>2.3</v>
      </c>
      <c r="R59">
        <v>2.6</v>
      </c>
      <c r="S59">
        <v>3.4</v>
      </c>
      <c r="T59">
        <v>4</v>
      </c>
      <c r="U59">
        <v>4.5</v>
      </c>
      <c r="V59">
        <v>5.1</v>
      </c>
      <c r="W59">
        <v>5.6</v>
      </c>
      <c r="AG59" t="s">
        <v>534</v>
      </c>
      <c r="AH59" t="s">
        <v>378</v>
      </c>
      <c r="AI59" t="str">
        <f t="shared" si="0"/>
        <v>ENSLEY   -----   B/D</v>
      </c>
      <c r="AK59" s="249" t="s">
        <v>348</v>
      </c>
      <c r="AN59" s="249"/>
      <c r="AO59" s="249"/>
      <c r="AP59" s="249"/>
      <c r="AQ59" s="249"/>
      <c r="AR59" s="249"/>
      <c r="AS59" s="249"/>
      <c r="AT59" s="249"/>
      <c r="AU59" s="249"/>
      <c r="AV59" s="249"/>
      <c r="AW59" s="249"/>
      <c r="AX59" s="249"/>
    </row>
    <row r="60" spans="3:50" ht="12.75">
      <c r="C60" s="249" t="s">
        <v>535</v>
      </c>
      <c r="D60" s="249" t="s">
        <v>536</v>
      </c>
      <c r="E60" s="249"/>
      <c r="F60" s="249">
        <v>98</v>
      </c>
      <c r="G60" s="249" t="e">
        <f>IF(AND(#REF!&gt;0,#REF!&lt;2000),#REF!*F60,0)</f>
        <v>#REF!</v>
      </c>
      <c r="H60" s="249">
        <v>98</v>
      </c>
      <c r="I60" s="249" t="e">
        <f>IF(AND(#REF!&gt;0,#REF!&lt;2000),#REF!*H60,0)</f>
        <v>#REF!</v>
      </c>
      <c r="J60" s="249">
        <v>98</v>
      </c>
      <c r="K60" s="249" t="e">
        <f>IF(AND(#REF!&gt;0,#REF!&lt;2000),#REF!*J60,0)</f>
        <v>#REF!</v>
      </c>
      <c r="L60" s="249">
        <v>98</v>
      </c>
      <c r="M60" s="249" t="e">
        <f>IF(AND(#REF!&gt;0,#REF!&lt;2000),#REF!*L60,0)</f>
        <v>#REF!</v>
      </c>
      <c r="O60">
        <v>59</v>
      </c>
      <c r="P60" s="249" t="s">
        <v>537</v>
      </c>
      <c r="Q60">
        <v>2.2</v>
      </c>
      <c r="R60">
        <v>2.5</v>
      </c>
      <c r="S60">
        <v>3.3</v>
      </c>
      <c r="T60">
        <v>3.8</v>
      </c>
      <c r="U60">
        <v>4.4</v>
      </c>
      <c r="V60">
        <v>4.9</v>
      </c>
      <c r="W60">
        <v>5.4</v>
      </c>
      <c r="AG60" t="s">
        <v>538</v>
      </c>
      <c r="AH60" t="s">
        <v>350</v>
      </c>
      <c r="AI60" t="str">
        <f t="shared" si="0"/>
        <v>FABIUS   -----   B</v>
      </c>
      <c r="AK60" s="249" t="s">
        <v>348</v>
      </c>
      <c r="AM60" s="251" t="s">
        <v>364</v>
      </c>
      <c r="AN60" s="249"/>
      <c r="AO60" s="249"/>
      <c r="AP60" s="251"/>
      <c r="AQ60" s="249"/>
      <c r="AR60" s="249"/>
      <c r="AS60" s="251"/>
      <c r="AT60" s="249"/>
      <c r="AU60" s="249"/>
      <c r="AV60" s="251"/>
      <c r="AW60" s="249"/>
      <c r="AX60" s="249"/>
    </row>
    <row r="61" spans="3:50" ht="12.75">
      <c r="C61" s="249" t="s">
        <v>539</v>
      </c>
      <c r="D61" s="249"/>
      <c r="E61" s="249"/>
      <c r="F61" s="249">
        <v>83</v>
      </c>
      <c r="G61" s="249" t="e">
        <f>IF(AND(#REF!&gt;0,#REF!&lt;2000),#REF!*F61,0)</f>
        <v>#REF!</v>
      </c>
      <c r="H61" s="249">
        <v>89</v>
      </c>
      <c r="I61" s="249" t="e">
        <f>IF(AND(#REF!&gt;0,#REF!&lt;2000),#REF!*H61,0)</f>
        <v>#REF!</v>
      </c>
      <c r="J61" s="249">
        <v>92</v>
      </c>
      <c r="K61" s="249" t="e">
        <f>IF(AND(#REF!&gt;0,#REF!&lt;2000),#REF!*J61,0)</f>
        <v>#REF!</v>
      </c>
      <c r="L61" s="249">
        <v>93</v>
      </c>
      <c r="M61" s="249" t="e">
        <f>IF(AND(#REF!&gt;0,#REF!&lt;2000),#REF!*L61,0)</f>
        <v>#REF!</v>
      </c>
      <c r="O61">
        <v>60</v>
      </c>
      <c r="P61" s="249" t="s">
        <v>540</v>
      </c>
      <c r="Q61">
        <v>2.2</v>
      </c>
      <c r="R61">
        <v>2.5</v>
      </c>
      <c r="S61">
        <v>3.3</v>
      </c>
      <c r="T61">
        <v>3.8</v>
      </c>
      <c r="U61">
        <v>4.4</v>
      </c>
      <c r="V61">
        <v>4.9</v>
      </c>
      <c r="W61">
        <v>5.4</v>
      </c>
      <c r="AG61" t="s">
        <v>541</v>
      </c>
      <c r="AH61" t="s">
        <v>351</v>
      </c>
      <c r="AI61" t="str">
        <f t="shared" si="0"/>
        <v>FAIRPORT   -----   C</v>
      </c>
      <c r="AK61" s="249" t="s">
        <v>348</v>
      </c>
      <c r="AM61" s="251" t="s">
        <v>364</v>
      </c>
      <c r="AN61" s="249"/>
      <c r="AO61" s="249"/>
      <c r="AP61" s="251"/>
      <c r="AQ61" s="249"/>
      <c r="AR61" s="249"/>
      <c r="AS61" s="251"/>
      <c r="AT61" s="249"/>
      <c r="AU61" s="249"/>
      <c r="AV61" s="251"/>
      <c r="AW61" s="249"/>
      <c r="AX61" s="249"/>
    </row>
    <row r="62" spans="3:50" ht="12.75">
      <c r="C62" s="249" t="s">
        <v>542</v>
      </c>
      <c r="F62" s="249">
        <v>76</v>
      </c>
      <c r="G62" s="249" t="e">
        <f>IF(AND(#REF!&gt;0,#REF!&lt;2000),#REF!*F62,0)</f>
        <v>#REF!</v>
      </c>
      <c r="H62" s="249">
        <v>85</v>
      </c>
      <c r="I62" s="249" t="e">
        <f>IF(AND(#REF!&gt;0,#REF!&lt;2000),#REF!*H62,0)</f>
        <v>#REF!</v>
      </c>
      <c r="J62" s="249">
        <v>89</v>
      </c>
      <c r="K62" s="249" t="e">
        <f>IF(AND(#REF!&gt;0,#REF!&lt;2000),#REF!*J62,0)</f>
        <v>#REF!</v>
      </c>
      <c r="L62" s="249">
        <v>91</v>
      </c>
      <c r="M62" s="249" t="e">
        <f>IF(AND(#REF!&gt;0,#REF!&lt;2000),#REF!*L62,0)</f>
        <v>#REF!</v>
      </c>
      <c r="O62">
        <v>61</v>
      </c>
      <c r="P62" s="249" t="s">
        <v>543</v>
      </c>
      <c r="Q62">
        <v>2.3</v>
      </c>
      <c r="R62">
        <v>2.7</v>
      </c>
      <c r="S62">
        <v>3.5</v>
      </c>
      <c r="T62">
        <v>4.1</v>
      </c>
      <c r="U62">
        <v>4.6</v>
      </c>
      <c r="V62">
        <v>5.1</v>
      </c>
      <c r="W62">
        <v>5.7</v>
      </c>
      <c r="AG62" t="s">
        <v>544</v>
      </c>
      <c r="AH62" t="s">
        <v>350</v>
      </c>
      <c r="AI62" t="str">
        <f t="shared" si="0"/>
        <v>FENCE   -----   B</v>
      </c>
      <c r="AK62" s="249" t="s">
        <v>348</v>
      </c>
      <c r="AM62" s="251" t="s">
        <v>364</v>
      </c>
      <c r="AN62" s="249"/>
      <c r="AO62" s="249"/>
      <c r="AP62" s="251"/>
      <c r="AQ62" s="249"/>
      <c r="AR62" s="249"/>
      <c r="AS62" s="251"/>
      <c r="AT62" s="249"/>
      <c r="AU62" s="249"/>
      <c r="AV62" s="251"/>
      <c r="AW62" s="249"/>
      <c r="AX62" s="249"/>
    </row>
    <row r="63" spans="3:50" ht="12.75">
      <c r="C63" s="249" t="s">
        <v>545</v>
      </c>
      <c r="F63" s="249">
        <v>72</v>
      </c>
      <c r="G63" s="249" t="e">
        <f>IF(AND(#REF!&gt;0,#REF!&lt;2000),#REF!*F63,0)</f>
        <v>#REF!</v>
      </c>
      <c r="H63" s="249">
        <v>82</v>
      </c>
      <c r="I63" s="249" t="e">
        <f>IF(AND(#REF!&gt;0,#REF!&lt;2000),#REF!*H63,0)</f>
        <v>#REF!</v>
      </c>
      <c r="J63" s="249">
        <v>87</v>
      </c>
      <c r="K63" s="249" t="e">
        <f>IF(AND(#REF!&gt;0,#REF!&lt;2000),#REF!*J63,0)</f>
        <v>#REF!</v>
      </c>
      <c r="L63" s="249">
        <v>89</v>
      </c>
      <c r="M63" s="249" t="e">
        <f>IF(AND(#REF!&gt;0,#REF!&lt;2000),#REF!*L63,0)</f>
        <v>#REF!</v>
      </c>
      <c r="O63">
        <v>62</v>
      </c>
      <c r="P63" s="249" t="s">
        <v>546</v>
      </c>
      <c r="Q63">
        <v>2.5</v>
      </c>
      <c r="R63">
        <v>2.9</v>
      </c>
      <c r="S63">
        <v>3.7</v>
      </c>
      <c r="T63">
        <v>4.3</v>
      </c>
      <c r="U63">
        <v>4.8</v>
      </c>
      <c r="V63">
        <v>5.4</v>
      </c>
      <c r="W63">
        <v>6.1</v>
      </c>
      <c r="AG63" t="s">
        <v>547</v>
      </c>
      <c r="AH63" t="s">
        <v>350</v>
      </c>
      <c r="AI63" t="str">
        <f t="shared" si="0"/>
        <v>FISK   -----   B</v>
      </c>
      <c r="AK63" s="249" t="s">
        <v>348</v>
      </c>
      <c r="AM63" s="251" t="s">
        <v>364</v>
      </c>
      <c r="AN63" s="249"/>
      <c r="AO63" s="249"/>
      <c r="AP63" s="251"/>
      <c r="AQ63" s="249"/>
      <c r="AR63" s="249"/>
      <c r="AS63" s="251"/>
      <c r="AT63" s="249"/>
      <c r="AU63" s="249"/>
      <c r="AV63" s="251"/>
      <c r="AW63" s="249"/>
      <c r="AX63" s="249"/>
    </row>
    <row r="64" spans="2:50" ht="12.75">
      <c r="B64" s="249" t="s">
        <v>548</v>
      </c>
      <c r="D64" s="257" t="s">
        <v>549</v>
      </c>
      <c r="E64" s="249"/>
      <c r="F64" s="249"/>
      <c r="G64" s="249" t="e">
        <f>IF(AND(#REF!&gt;0,#REF!&lt;2000),#REF!*F64,0)</f>
        <v>#REF!</v>
      </c>
      <c r="H64" s="249" t="s">
        <v>358</v>
      </c>
      <c r="I64" s="249" t="e">
        <f>IF(AND(#REF!&gt;0,#REF!&lt;2000),#REF!*H64,0)</f>
        <v>#REF!</v>
      </c>
      <c r="J64" s="249"/>
      <c r="K64" s="249" t="e">
        <f>IF(AND(#REF!&gt;0,#REF!&lt;2000),#REF!*J64,0)</f>
        <v>#REF!</v>
      </c>
      <c r="M64" s="249" t="e">
        <f>IF(AND(#REF!&gt;0,#REF!&lt;2000),#REF!*L64,0)</f>
        <v>#REF!</v>
      </c>
      <c r="O64">
        <v>63</v>
      </c>
      <c r="P64" s="249" t="s">
        <v>550</v>
      </c>
      <c r="Q64">
        <v>2.5</v>
      </c>
      <c r="R64">
        <v>3</v>
      </c>
      <c r="S64">
        <v>3.8</v>
      </c>
      <c r="T64">
        <v>4.3</v>
      </c>
      <c r="U64">
        <v>4.9</v>
      </c>
      <c r="V64">
        <v>5.4</v>
      </c>
      <c r="W64">
        <v>6.2</v>
      </c>
      <c r="AG64" t="s">
        <v>551</v>
      </c>
      <c r="AH64" t="s">
        <v>352</v>
      </c>
      <c r="AI64" t="str">
        <f t="shared" si="0"/>
        <v>FLUVAQUENTS   -----   D</v>
      </c>
      <c r="AK64" s="249" t="s">
        <v>348</v>
      </c>
      <c r="AM64" s="249"/>
      <c r="AN64" s="249"/>
      <c r="AO64" s="249"/>
      <c r="AP64" s="251"/>
      <c r="AQ64" s="249"/>
      <c r="AR64" s="249"/>
      <c r="AS64" s="251"/>
      <c r="AT64" s="249"/>
      <c r="AU64" s="249"/>
      <c r="AV64" s="251"/>
      <c r="AX64" s="249"/>
    </row>
    <row r="65" spans="3:50" ht="12.75">
      <c r="C65" s="249" t="s">
        <v>552</v>
      </c>
      <c r="D65" s="257">
        <v>85</v>
      </c>
      <c r="E65" s="249"/>
      <c r="F65" s="249">
        <v>89</v>
      </c>
      <c r="G65" s="249" t="e">
        <f>IF(AND(#REF!&gt;0,#REF!&lt;2000),#REF!*F65,0)</f>
        <v>#REF!</v>
      </c>
      <c r="H65" s="249">
        <v>92</v>
      </c>
      <c r="I65" s="249" t="e">
        <f>IF(AND(#REF!&gt;0,#REF!&lt;2000),#REF!*H65,0)</f>
        <v>#REF!</v>
      </c>
      <c r="J65" s="249">
        <v>94</v>
      </c>
      <c r="K65" s="249" t="e">
        <f>IF(AND(#REF!&gt;0,#REF!&lt;2000),#REF!*J65,0)</f>
        <v>#REF!</v>
      </c>
      <c r="L65" s="249">
        <v>95</v>
      </c>
      <c r="M65" s="249" t="e">
        <f>IF(AND(#REF!&gt;0,#REF!&lt;2000),#REF!*L65,0)</f>
        <v>#REF!</v>
      </c>
      <c r="O65">
        <v>64</v>
      </c>
      <c r="P65" s="249" t="s">
        <v>553</v>
      </c>
      <c r="Q65">
        <v>2.2</v>
      </c>
      <c r="R65">
        <v>2.5</v>
      </c>
      <c r="S65">
        <v>3.2</v>
      </c>
      <c r="T65">
        <v>3.8</v>
      </c>
      <c r="U65">
        <v>4.3</v>
      </c>
      <c r="V65">
        <v>4.8</v>
      </c>
      <c r="W65">
        <v>5.2</v>
      </c>
      <c r="AG65" t="s">
        <v>554</v>
      </c>
      <c r="AH65" t="s">
        <v>378</v>
      </c>
      <c r="AI65" t="str">
        <f aca="true" t="shared" si="3" ref="AI65:AI127">soils1&amp;soils3&amp;soils2</f>
        <v>FORADA   -----   B/D</v>
      </c>
      <c r="AK65" s="249" t="s">
        <v>348</v>
      </c>
      <c r="AM65" s="251" t="s">
        <v>364</v>
      </c>
      <c r="AN65" s="249"/>
      <c r="AO65" s="249"/>
      <c r="AP65" s="251"/>
      <c r="AQ65" s="249"/>
      <c r="AR65" s="249"/>
      <c r="AS65" s="251"/>
      <c r="AT65" s="249"/>
      <c r="AU65" s="249"/>
      <c r="AV65" s="251"/>
      <c r="AW65" s="249"/>
      <c r="AX65" s="249"/>
    </row>
    <row r="66" spans="3:50" ht="12.75">
      <c r="C66" s="249" t="s">
        <v>555</v>
      </c>
      <c r="D66" s="257">
        <v>72</v>
      </c>
      <c r="E66" s="249"/>
      <c r="F66" s="249">
        <v>81</v>
      </c>
      <c r="G66" s="249" t="e">
        <f>IF(AND(#REF!&gt;0,#REF!&lt;2000),#REF!*F66,0)</f>
        <v>#REF!</v>
      </c>
      <c r="H66" s="249">
        <v>88</v>
      </c>
      <c r="I66" s="249" t="e">
        <f>IF(AND(#REF!&gt;0,#REF!&lt;2000),#REF!*H66,0)</f>
        <v>#REF!</v>
      </c>
      <c r="J66" s="249">
        <v>91</v>
      </c>
      <c r="K66" s="249" t="e">
        <f>IF(AND(#REF!&gt;0,#REF!&lt;2000),#REF!*J66,0)</f>
        <v>#REF!</v>
      </c>
      <c r="L66" s="249">
        <v>93</v>
      </c>
      <c r="M66" s="249" t="e">
        <f>IF(AND(#REF!&gt;0,#REF!&lt;2000),#REF!*L66,0)</f>
        <v>#REF!</v>
      </c>
      <c r="O66">
        <v>65</v>
      </c>
      <c r="P66" s="249" t="s">
        <v>556</v>
      </c>
      <c r="Q66">
        <v>2.4</v>
      </c>
      <c r="R66">
        <v>2.8</v>
      </c>
      <c r="S66">
        <v>3.5</v>
      </c>
      <c r="T66">
        <v>4.1</v>
      </c>
      <c r="U66">
        <v>4.6</v>
      </c>
      <c r="V66">
        <v>5.2</v>
      </c>
      <c r="W66">
        <v>5.8</v>
      </c>
      <c r="AG66" t="s">
        <v>557</v>
      </c>
      <c r="AH66" t="s">
        <v>352</v>
      </c>
      <c r="AI66" t="str">
        <f t="shared" si="3"/>
        <v>FORDUM   -----   D</v>
      </c>
      <c r="AK66" s="249" t="s">
        <v>348</v>
      </c>
      <c r="AM66" s="251" t="s">
        <v>364</v>
      </c>
      <c r="AN66" s="249"/>
      <c r="AO66" s="249"/>
      <c r="AP66" s="251"/>
      <c r="AQ66" s="249"/>
      <c r="AR66" s="249"/>
      <c r="AS66" s="251"/>
      <c r="AT66" s="249"/>
      <c r="AU66" s="249"/>
      <c r="AV66" s="251"/>
      <c r="AW66" s="249"/>
      <c r="AX66" s="249"/>
    </row>
    <row r="67" spans="2:50" ht="12.75">
      <c r="B67" s="249" t="s">
        <v>558</v>
      </c>
      <c r="C67" s="249"/>
      <c r="D67" s="256" t="s">
        <v>549</v>
      </c>
      <c r="E67" s="253"/>
      <c r="F67" s="249"/>
      <c r="G67" s="249" t="e">
        <f>IF(AND(#REF!&gt;0,#REF!&lt;2000),#REF!*F67,0)</f>
        <v>#REF!</v>
      </c>
      <c r="H67" s="249" t="s">
        <v>358</v>
      </c>
      <c r="I67" s="249" t="e">
        <f>IF(AND(#REF!&gt;0,#REF!&lt;2000),#REF!*H67,0)</f>
        <v>#REF!</v>
      </c>
      <c r="J67" s="253" t="s">
        <v>358</v>
      </c>
      <c r="K67" s="249" t="e">
        <f>IF(AND(#REF!&gt;0,#REF!&lt;2000),#REF!*J67,0)</f>
        <v>#REF!</v>
      </c>
      <c r="L67" s="253" t="s">
        <v>358</v>
      </c>
      <c r="M67" s="249" t="e">
        <f>IF(AND(#REF!&gt;0,#REF!&lt;2000),#REF!*L67,0)</f>
        <v>#REF!</v>
      </c>
      <c r="O67">
        <v>66</v>
      </c>
      <c r="P67" s="249" t="s">
        <v>559</v>
      </c>
      <c r="Q67">
        <v>2.3</v>
      </c>
      <c r="R67">
        <v>2.7</v>
      </c>
      <c r="S67">
        <v>3.4</v>
      </c>
      <c r="T67">
        <v>4</v>
      </c>
      <c r="U67">
        <v>4.5</v>
      </c>
      <c r="V67">
        <v>5.1</v>
      </c>
      <c r="W67">
        <v>5.6</v>
      </c>
      <c r="AG67" t="s">
        <v>560</v>
      </c>
      <c r="AH67" t="s">
        <v>350</v>
      </c>
      <c r="AI67" t="str">
        <f t="shared" si="3"/>
        <v>FOX   -----   B</v>
      </c>
      <c r="AK67" s="249" t="s">
        <v>348</v>
      </c>
      <c r="AM67" s="253"/>
      <c r="AN67" s="249"/>
      <c r="AO67" s="249"/>
      <c r="AP67" s="251"/>
      <c r="AQ67" s="249"/>
      <c r="AR67" s="249"/>
      <c r="AS67" s="251"/>
      <c r="AT67" s="249"/>
      <c r="AU67" s="249"/>
      <c r="AV67" s="251"/>
      <c r="AW67" s="249"/>
      <c r="AX67" s="249"/>
    </row>
    <row r="68" spans="3:50" ht="12.75">
      <c r="C68" s="249" t="s">
        <v>561</v>
      </c>
      <c r="D68" s="257">
        <v>65</v>
      </c>
      <c r="E68" s="249"/>
      <c r="F68" s="249">
        <v>77</v>
      </c>
      <c r="G68" s="249" t="e">
        <f>IF(AND(#REF!&gt;0,#REF!&lt;2000),#REF!*F68,0)</f>
        <v>#REF!</v>
      </c>
      <c r="H68" s="249">
        <v>85</v>
      </c>
      <c r="I68" s="249" t="e">
        <f>IF(AND(#REF!&gt;0,#REF!&lt;2000),#REF!*H68,0)</f>
        <v>#REF!</v>
      </c>
      <c r="J68" s="249">
        <v>90</v>
      </c>
      <c r="K68" s="249" t="e">
        <f>IF(AND(#REF!&gt;0,#REF!&lt;2000),#REF!*J68,0)</f>
        <v>#REF!</v>
      </c>
      <c r="L68" s="249">
        <v>92</v>
      </c>
      <c r="M68" s="249" t="e">
        <f>IF(AND(#REF!&gt;0,#REF!&lt;2000),#REF!*L68,0)</f>
        <v>#REF!</v>
      </c>
      <c r="O68">
        <v>67</v>
      </c>
      <c r="P68" s="249" t="s">
        <v>562</v>
      </c>
      <c r="Q68">
        <v>2.3</v>
      </c>
      <c r="R68">
        <v>2.7</v>
      </c>
      <c r="S68">
        <v>3.4</v>
      </c>
      <c r="T68">
        <v>3.9</v>
      </c>
      <c r="U68">
        <v>4.5</v>
      </c>
      <c r="V68">
        <v>5</v>
      </c>
      <c r="W68">
        <v>5.5</v>
      </c>
      <c r="AG68" t="s">
        <v>563</v>
      </c>
      <c r="AH68" t="s">
        <v>349</v>
      </c>
      <c r="AI68" t="str">
        <f t="shared" si="3"/>
        <v>FRIENDSHIP   -----   A</v>
      </c>
      <c r="AK68" s="249" t="s">
        <v>348</v>
      </c>
      <c r="AM68" s="251" t="s">
        <v>364</v>
      </c>
      <c r="AN68" s="249"/>
      <c r="AO68" s="249"/>
      <c r="AP68" s="251"/>
      <c r="AQ68" s="249"/>
      <c r="AR68" s="249"/>
      <c r="AS68" s="251"/>
      <c r="AT68" s="249"/>
      <c r="AU68" s="249"/>
      <c r="AV68" s="251"/>
      <c r="AW68" s="249"/>
      <c r="AX68" s="249"/>
    </row>
    <row r="69" spans="3:50" ht="12.75">
      <c r="C69" s="249" t="s">
        <v>564</v>
      </c>
      <c r="D69" s="257">
        <v>38</v>
      </c>
      <c r="E69" s="249"/>
      <c r="F69" s="249">
        <v>61</v>
      </c>
      <c r="G69" s="249" t="e">
        <f>IF(AND(#REF!&gt;0,#REF!&lt;2000),#REF!*F69,0)</f>
        <v>#REF!</v>
      </c>
      <c r="H69" s="249">
        <v>75</v>
      </c>
      <c r="I69" s="249" t="e">
        <f>IF(AND(#REF!&gt;0,#REF!&lt;2000),#REF!*H69,0)</f>
        <v>#REF!</v>
      </c>
      <c r="J69" s="249">
        <v>83</v>
      </c>
      <c r="K69" s="249" t="e">
        <f>IF(AND(#REF!&gt;0,#REF!&lt;2000),#REF!*J69,0)</f>
        <v>#REF!</v>
      </c>
      <c r="L69" s="249">
        <v>87</v>
      </c>
      <c r="M69" s="249" t="e">
        <f>IF(AND(#REF!&gt;0,#REF!&lt;2000),#REF!*L69,0)</f>
        <v>#REF!</v>
      </c>
      <c r="O69">
        <v>68</v>
      </c>
      <c r="P69" s="249" t="s">
        <v>565</v>
      </c>
      <c r="Q69">
        <v>2.3</v>
      </c>
      <c r="R69">
        <v>2.7</v>
      </c>
      <c r="S69">
        <v>3.5</v>
      </c>
      <c r="T69">
        <v>4</v>
      </c>
      <c r="U69">
        <v>4.6</v>
      </c>
      <c r="V69">
        <v>5.1</v>
      </c>
      <c r="W69">
        <v>5.6</v>
      </c>
      <c r="AG69" t="s">
        <v>566</v>
      </c>
      <c r="AH69" t="s">
        <v>351</v>
      </c>
      <c r="AI69" t="str">
        <f t="shared" si="3"/>
        <v>GAASTRA   -----   C</v>
      </c>
      <c r="AK69" s="249" t="s">
        <v>348</v>
      </c>
      <c r="AM69" s="251" t="s">
        <v>364</v>
      </c>
      <c r="AN69" s="249"/>
      <c r="AO69" s="249"/>
      <c r="AP69" s="251"/>
      <c r="AQ69" s="249"/>
      <c r="AR69" s="249"/>
      <c r="AS69" s="251"/>
      <c r="AT69" s="249"/>
      <c r="AU69" s="249"/>
      <c r="AV69" s="251"/>
      <c r="AW69" s="249"/>
      <c r="AX69" s="249"/>
    </row>
    <row r="70" spans="3:50" ht="12.75">
      <c r="C70" s="249" t="s">
        <v>567</v>
      </c>
      <c r="D70" s="257">
        <v>30</v>
      </c>
      <c r="E70" s="249"/>
      <c r="F70" s="249">
        <v>57</v>
      </c>
      <c r="G70" s="249" t="e">
        <f>IF(AND(#REF!&gt;0,#REF!&lt;2000),#REF!*F70,0)</f>
        <v>#REF!</v>
      </c>
      <c r="H70" s="249">
        <v>72</v>
      </c>
      <c r="I70" s="249" t="e">
        <f>IF(AND(#REF!&gt;0,#REF!&lt;2000),#REF!*H70,0)</f>
        <v>#REF!</v>
      </c>
      <c r="J70" s="249">
        <v>81</v>
      </c>
      <c r="K70" s="249" t="e">
        <f>IF(AND(#REF!&gt;0,#REF!&lt;2000),#REF!*J70,0)</f>
        <v>#REF!</v>
      </c>
      <c r="L70" s="249">
        <v>86</v>
      </c>
      <c r="M70" s="249" t="e">
        <f>IF(AND(#REF!&gt;0,#REF!&lt;2000),#REF!*L70,0)</f>
        <v>#REF!</v>
      </c>
      <c r="O70">
        <v>69</v>
      </c>
      <c r="P70" s="249" t="s">
        <v>568</v>
      </c>
      <c r="Q70">
        <v>2.3</v>
      </c>
      <c r="R70">
        <v>2.6</v>
      </c>
      <c r="S70">
        <v>3.4</v>
      </c>
      <c r="T70">
        <v>3.9</v>
      </c>
      <c r="U70">
        <v>4.5</v>
      </c>
      <c r="V70">
        <v>5</v>
      </c>
      <c r="W70">
        <v>5.5</v>
      </c>
      <c r="AG70" t="s">
        <v>569</v>
      </c>
      <c r="AH70" t="s">
        <v>350</v>
      </c>
      <c r="AI70" t="str">
        <f t="shared" si="3"/>
        <v>GOODMAN   -----   B</v>
      </c>
      <c r="AK70" s="249" t="s">
        <v>348</v>
      </c>
      <c r="AM70" s="251" t="s">
        <v>364</v>
      </c>
      <c r="AN70" s="249"/>
      <c r="AO70" s="249"/>
      <c r="AP70" s="251"/>
      <c r="AQ70" s="249"/>
      <c r="AR70" s="249"/>
      <c r="AS70" s="251"/>
      <c r="AT70" s="249"/>
      <c r="AU70" s="249"/>
      <c r="AV70" s="251"/>
      <c r="AW70" s="249"/>
      <c r="AX70" s="249"/>
    </row>
    <row r="71" spans="3:50" ht="12.75">
      <c r="C71" s="249" t="s">
        <v>570</v>
      </c>
      <c r="D71" s="257">
        <v>25</v>
      </c>
      <c r="E71" s="249"/>
      <c r="F71" s="249">
        <v>54</v>
      </c>
      <c r="G71" s="249" t="e">
        <f>IF(AND(#REF!&gt;0,#REF!&lt;2000),#REF!*F71,0)</f>
        <v>#REF!</v>
      </c>
      <c r="H71" s="249">
        <v>70</v>
      </c>
      <c r="I71" s="249" t="e">
        <f>IF(AND(#REF!&gt;0,#REF!&lt;2000),#REF!*H71,0)</f>
        <v>#REF!</v>
      </c>
      <c r="J71" s="249">
        <v>80</v>
      </c>
      <c r="K71" s="249" t="e">
        <f>IF(AND(#REF!&gt;0,#REF!&lt;2000),#REF!*J71,0)</f>
        <v>#REF!</v>
      </c>
      <c r="L71" s="249">
        <v>85</v>
      </c>
      <c r="M71" s="249" t="e">
        <f>IF(AND(#REF!&gt;0,#REF!&lt;2000),#REF!*L71,0)</f>
        <v>#REF!</v>
      </c>
      <c r="O71">
        <v>70</v>
      </c>
      <c r="P71" s="249" t="s">
        <v>571</v>
      </c>
      <c r="Q71">
        <v>2.3</v>
      </c>
      <c r="R71">
        <v>2.7</v>
      </c>
      <c r="S71">
        <v>3.5</v>
      </c>
      <c r="T71">
        <v>4</v>
      </c>
      <c r="U71">
        <v>4.6</v>
      </c>
      <c r="V71">
        <v>5.1</v>
      </c>
      <c r="W71">
        <v>5.7</v>
      </c>
      <c r="AG71" t="s">
        <v>572</v>
      </c>
      <c r="AH71" t="s">
        <v>347</v>
      </c>
      <c r="AI71" t="str">
        <f t="shared" si="3"/>
        <v>GRANBY   -----   A/D</v>
      </c>
      <c r="AK71" s="249" t="s">
        <v>348</v>
      </c>
      <c r="AM71" s="251" t="s">
        <v>364</v>
      </c>
      <c r="AN71" s="249"/>
      <c r="AO71" s="249"/>
      <c r="AP71" s="251"/>
      <c r="AQ71" s="249"/>
      <c r="AR71" s="249"/>
      <c r="AS71" s="251"/>
      <c r="AT71" s="249"/>
      <c r="AU71" s="249"/>
      <c r="AV71" s="251"/>
      <c r="AW71" s="249"/>
      <c r="AX71" s="249"/>
    </row>
    <row r="72" spans="3:50" ht="12.75">
      <c r="C72" s="249" t="s">
        <v>573</v>
      </c>
      <c r="D72" s="257">
        <v>20</v>
      </c>
      <c r="E72" s="249"/>
      <c r="F72" s="249">
        <v>51</v>
      </c>
      <c r="G72" s="249" t="e">
        <f>IF(AND(#REF!&gt;0,#REF!&lt;2000),#REF!*F72,0)</f>
        <v>#REF!</v>
      </c>
      <c r="H72" s="249">
        <v>68</v>
      </c>
      <c r="I72" s="249" t="e">
        <f>IF(AND(#REF!&gt;0,#REF!&lt;2000),#REF!*H72,0)</f>
        <v>#REF!</v>
      </c>
      <c r="J72" s="249">
        <v>79</v>
      </c>
      <c r="K72" s="249" t="e">
        <f>IF(AND(#REF!&gt;0,#REF!&lt;2000),#REF!*J72,0)</f>
        <v>#REF!</v>
      </c>
      <c r="L72" s="249">
        <v>84</v>
      </c>
      <c r="M72" s="249" t="e">
        <f>IF(AND(#REF!&gt;0,#REF!&lt;2000),#REF!*L72,0)</f>
        <v>#REF!</v>
      </c>
      <c r="O72">
        <v>71</v>
      </c>
      <c r="P72" s="249" t="s">
        <v>574</v>
      </c>
      <c r="Q72">
        <v>2.3</v>
      </c>
      <c r="R72">
        <v>2.6</v>
      </c>
      <c r="S72">
        <v>3.4</v>
      </c>
      <c r="T72">
        <v>3.9</v>
      </c>
      <c r="U72">
        <v>4.5</v>
      </c>
      <c r="V72">
        <v>5</v>
      </c>
      <c r="W72">
        <v>5.5</v>
      </c>
      <c r="AG72" t="s">
        <v>575</v>
      </c>
      <c r="AH72" t="s">
        <v>350</v>
      </c>
      <c r="AI72" t="str">
        <f t="shared" si="3"/>
        <v>GRAYS   -----   B</v>
      </c>
      <c r="AK72" s="249" t="s">
        <v>348</v>
      </c>
      <c r="AM72" s="251" t="s">
        <v>364</v>
      </c>
      <c r="AN72" s="249"/>
      <c r="AO72" s="249"/>
      <c r="AP72" s="251"/>
      <c r="AQ72" s="249"/>
      <c r="AR72" s="249"/>
      <c r="AS72" s="251"/>
      <c r="AT72" s="249"/>
      <c r="AU72" s="249"/>
      <c r="AV72" s="251"/>
      <c r="AW72" s="249"/>
      <c r="AX72" s="249"/>
    </row>
    <row r="73" spans="3:50" ht="12.75">
      <c r="C73" s="249" t="s">
        <v>576</v>
      </c>
      <c r="D73" s="257">
        <v>12</v>
      </c>
      <c r="E73" s="249"/>
      <c r="F73" s="249">
        <v>46</v>
      </c>
      <c r="G73" s="249" t="e">
        <f>IF(AND(#REF!&gt;0,#REF!&lt;2000),#REF!*F73,0)</f>
        <v>#REF!</v>
      </c>
      <c r="H73" s="249">
        <v>65</v>
      </c>
      <c r="I73" s="249" t="e">
        <f>IF(AND(#REF!&gt;0,#REF!&lt;2000),#REF!*H73,0)</f>
        <v>#REF!</v>
      </c>
      <c r="J73" s="249">
        <v>77</v>
      </c>
      <c r="K73" s="249" t="e">
        <f>IF(AND(#REF!&gt;0,#REF!&lt;2000),#REF!*J73,0)</f>
        <v>#REF!</v>
      </c>
      <c r="L73" s="249">
        <v>82</v>
      </c>
      <c r="M73" s="249" t="e">
        <f>IF(AND(#REF!&gt;0,#REF!&lt;2000),#REF!*L73,0)</f>
        <v>#REF!</v>
      </c>
      <c r="O73">
        <v>72</v>
      </c>
      <c r="P73" s="249" t="s">
        <v>577</v>
      </c>
      <c r="Q73">
        <v>2.3</v>
      </c>
      <c r="R73">
        <v>2.7</v>
      </c>
      <c r="S73">
        <v>3.5</v>
      </c>
      <c r="T73">
        <v>4.1</v>
      </c>
      <c r="U73">
        <v>4.6</v>
      </c>
      <c r="V73">
        <v>5.2</v>
      </c>
      <c r="W73">
        <v>5.8</v>
      </c>
      <c r="AG73" t="s">
        <v>578</v>
      </c>
      <c r="AH73" t="s">
        <v>350</v>
      </c>
      <c r="AI73" t="str">
        <f t="shared" si="3"/>
        <v>GRELLTON   -----   B</v>
      </c>
      <c r="AK73" s="249" t="s">
        <v>348</v>
      </c>
      <c r="AM73" s="251" t="s">
        <v>364</v>
      </c>
      <c r="AN73" s="249"/>
      <c r="AO73" s="249"/>
      <c r="AP73" s="251"/>
      <c r="AQ73" s="249"/>
      <c r="AR73" s="249"/>
      <c r="AS73" s="251"/>
      <c r="AT73" s="249"/>
      <c r="AU73" s="249"/>
      <c r="AV73" s="251"/>
      <c r="AW73" s="249"/>
      <c r="AX73" s="249"/>
    </row>
    <row r="74" spans="2:50" ht="12.75">
      <c r="B74" s="249" t="s">
        <v>579</v>
      </c>
      <c r="D74" s="249"/>
      <c r="E74" s="249"/>
      <c r="F74" s="249" t="s">
        <v>358</v>
      </c>
      <c r="G74" s="249" t="e">
        <f>IF(AND(#REF!&gt;0,#REF!&lt;2000),#REF!*F74,0)</f>
        <v>#REF!</v>
      </c>
      <c r="H74" s="249" t="s">
        <v>358</v>
      </c>
      <c r="I74" s="249" t="e">
        <f>IF(AND(#REF!&gt;0,#REF!&lt;2000),#REF!*H74,0)</f>
        <v>#REF!</v>
      </c>
      <c r="J74" s="253" t="s">
        <v>358</v>
      </c>
      <c r="K74" s="249" t="e">
        <f>IF(AND(#REF!&gt;0,#REF!&lt;2000),#REF!*J74,0)</f>
        <v>#REF!</v>
      </c>
      <c r="L74" s="249" t="s">
        <v>358</v>
      </c>
      <c r="M74" s="249" t="e">
        <f>IF(AND(#REF!&gt;0,#REF!&lt;2000),#REF!*L74,0)</f>
        <v>#REF!</v>
      </c>
      <c r="AG74" t="s">
        <v>580</v>
      </c>
      <c r="AH74" t="s">
        <v>351</v>
      </c>
      <c r="AI74" t="str">
        <f t="shared" si="3"/>
        <v>HIBBING   -----   C</v>
      </c>
      <c r="AK74" s="249" t="s">
        <v>348</v>
      </c>
      <c r="AM74" s="251"/>
      <c r="AN74" s="249"/>
      <c r="AO74" s="249"/>
      <c r="AP74" s="251"/>
      <c r="AQ74" s="249"/>
      <c r="AR74" s="249"/>
      <c r="AS74" s="251"/>
      <c r="AT74" s="249"/>
      <c r="AU74" s="249"/>
      <c r="AV74" s="251"/>
      <c r="AW74" s="249"/>
      <c r="AX74" s="249"/>
    </row>
    <row r="75" spans="3:50" ht="12.75">
      <c r="C75" s="249" t="s">
        <v>581</v>
      </c>
      <c r="D75" s="249" t="s">
        <v>536</v>
      </c>
      <c r="E75" s="249"/>
      <c r="F75" s="249">
        <v>77</v>
      </c>
      <c r="G75" s="249" t="e">
        <f>IF(AND(#REF!&gt;0,#REF!&lt;2000),#REF!*F75,0)</f>
        <v>#REF!</v>
      </c>
      <c r="H75" s="249">
        <v>86</v>
      </c>
      <c r="I75" s="249" t="e">
        <f>IF(AND(#REF!&gt;0,#REF!&lt;2000),#REF!*H75,0)</f>
        <v>#REF!</v>
      </c>
      <c r="J75" s="249">
        <v>91</v>
      </c>
      <c r="K75" s="249" t="e">
        <f>IF(AND(#REF!&gt;0,#REF!&lt;2000),#REF!*J75,0)</f>
        <v>#REF!</v>
      </c>
      <c r="L75" s="249">
        <v>94</v>
      </c>
      <c r="M75" s="249" t="e">
        <f>IF(AND(#REF!&gt;0,#REF!&lt;2000),#REF!*L75,0)</f>
        <v>#REF!</v>
      </c>
      <c r="AG75" t="s">
        <v>582</v>
      </c>
      <c r="AH75" t="s">
        <v>350</v>
      </c>
      <c r="AI75" t="str">
        <f t="shared" si="3"/>
        <v>HOCHHEIM   -----   B</v>
      </c>
      <c r="AK75" s="249" t="s">
        <v>348</v>
      </c>
      <c r="AM75" s="251" t="s">
        <v>364</v>
      </c>
      <c r="AN75" s="249"/>
      <c r="AO75" s="249"/>
      <c r="AP75" s="251"/>
      <c r="AQ75" s="249"/>
      <c r="AR75" s="249"/>
      <c r="AS75" s="251"/>
      <c r="AT75" s="249"/>
      <c r="AU75" s="249"/>
      <c r="AV75" s="251"/>
      <c r="AW75" s="249"/>
      <c r="AX75" s="249"/>
    </row>
    <row r="76" spans="33:37" ht="12.75">
      <c r="AG76" t="s">
        <v>583</v>
      </c>
      <c r="AH76" t="s">
        <v>350</v>
      </c>
      <c r="AI76" t="str">
        <f t="shared" si="3"/>
        <v>HORTONVILLE   -----   B</v>
      </c>
      <c r="AK76" s="249" t="s">
        <v>348</v>
      </c>
    </row>
    <row r="77" spans="13:37" ht="12.75">
      <c r="M77" t="e">
        <f>SUM(M3:M75)</f>
        <v>#REF!</v>
      </c>
      <c r="AG77" t="s">
        <v>584</v>
      </c>
      <c r="AH77" t="s">
        <v>352</v>
      </c>
      <c r="AI77" t="str">
        <f t="shared" si="3"/>
        <v>HOUGHTON   -----   D</v>
      </c>
      <c r="AK77" s="249" t="s">
        <v>348</v>
      </c>
    </row>
    <row r="78" spans="33:39" ht="12.75">
      <c r="AG78" t="s">
        <v>584</v>
      </c>
      <c r="AH78" t="s">
        <v>347</v>
      </c>
      <c r="AI78" t="str">
        <f t="shared" si="3"/>
        <v>HOUGHTON   -----   A/D</v>
      </c>
      <c r="AK78" s="249" t="s">
        <v>348</v>
      </c>
      <c r="AM78">
        <f>SUM(AM4:AM75)</f>
        <v>0</v>
      </c>
    </row>
    <row r="79" spans="2:37" ht="12.75">
      <c r="B79" s="249"/>
      <c r="C79" s="249"/>
      <c r="AG79" t="s">
        <v>585</v>
      </c>
      <c r="AH79" t="s">
        <v>350</v>
      </c>
      <c r="AI79" t="str">
        <f t="shared" si="3"/>
        <v>IOSCO   -----   B</v>
      </c>
      <c r="AK79" s="249" t="s">
        <v>348</v>
      </c>
    </row>
    <row r="80" spans="3:37" ht="12.75">
      <c r="C80" s="249"/>
      <c r="F80" s="252"/>
      <c r="G80" s="252"/>
      <c r="H80" s="252"/>
      <c r="I80" s="252"/>
      <c r="AG80" t="s">
        <v>586</v>
      </c>
      <c r="AH80" t="s">
        <v>349</v>
      </c>
      <c r="AI80" t="str">
        <f t="shared" si="3"/>
        <v>ISHPEMING   -----   A</v>
      </c>
      <c r="AK80" s="249" t="s">
        <v>348</v>
      </c>
    </row>
    <row r="81" spans="6:37" ht="12.75">
      <c r="F81" s="252"/>
      <c r="G81" s="252"/>
      <c r="H81" s="252"/>
      <c r="I81" s="252"/>
      <c r="AG81" t="s">
        <v>587</v>
      </c>
      <c r="AH81" t="s">
        <v>349</v>
      </c>
      <c r="AI81" t="str">
        <f t="shared" si="3"/>
        <v>KARLIN   -----   A</v>
      </c>
      <c r="AK81" s="249" t="s">
        <v>348</v>
      </c>
    </row>
    <row r="82" spans="6:37" ht="12.75">
      <c r="F82" s="252"/>
      <c r="G82" s="252"/>
      <c r="H82" s="252"/>
      <c r="I82" s="252"/>
      <c r="AG82" t="s">
        <v>588</v>
      </c>
      <c r="AH82" t="s">
        <v>351</v>
      </c>
      <c r="AI82" t="str">
        <f t="shared" si="3"/>
        <v>KAUKAUNA   -----   C</v>
      </c>
      <c r="AK82" s="249" t="s">
        <v>348</v>
      </c>
    </row>
    <row r="83" spans="33:49" ht="12.75">
      <c r="AG83" t="s">
        <v>589</v>
      </c>
      <c r="AH83" t="s">
        <v>350</v>
      </c>
      <c r="AI83" t="str">
        <f t="shared" si="3"/>
        <v>KENNAN   -----   B</v>
      </c>
      <c r="AK83" s="249" t="s">
        <v>348</v>
      </c>
      <c r="AM83" s="249"/>
      <c r="AN83" s="249"/>
      <c r="AO83" s="249"/>
      <c r="AP83" s="251"/>
      <c r="AQ83" s="249"/>
      <c r="AR83" s="249"/>
      <c r="AS83" s="251"/>
      <c r="AT83" s="249"/>
      <c r="AU83" s="249"/>
      <c r="AV83" s="251"/>
      <c r="AW83" s="249"/>
    </row>
    <row r="84" spans="33:49" ht="12.75">
      <c r="AG84" t="s">
        <v>590</v>
      </c>
      <c r="AH84" t="s">
        <v>378</v>
      </c>
      <c r="AI84" t="str">
        <f t="shared" si="3"/>
        <v>KEOWNS   -----   B/D</v>
      </c>
      <c r="AK84" s="249" t="s">
        <v>348</v>
      </c>
      <c r="AM84" s="249"/>
      <c r="AN84" s="249"/>
      <c r="AO84" s="249"/>
      <c r="AP84" s="251"/>
      <c r="AQ84" s="249"/>
      <c r="AR84" s="249"/>
      <c r="AS84" s="251"/>
      <c r="AT84" s="249"/>
      <c r="AU84" s="249"/>
      <c r="AV84" s="251"/>
      <c r="AW84" s="249"/>
    </row>
    <row r="85" spans="3:49" ht="12.75"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AG85" t="s">
        <v>591</v>
      </c>
      <c r="AH85" t="s">
        <v>351</v>
      </c>
      <c r="AI85" t="str">
        <f t="shared" si="3"/>
        <v>KERT   -----   C</v>
      </c>
      <c r="AK85" s="249" t="s">
        <v>348</v>
      </c>
      <c r="AM85" s="249"/>
      <c r="AN85" s="249"/>
      <c r="AO85" s="249"/>
      <c r="AP85" s="251"/>
      <c r="AQ85" s="249"/>
      <c r="AR85" s="249"/>
      <c r="AS85" s="251"/>
      <c r="AT85" s="249"/>
      <c r="AU85" s="249"/>
      <c r="AV85" s="251"/>
      <c r="AW85" s="249"/>
    </row>
    <row r="86" spans="3:49" ht="12.75"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AG86" t="s">
        <v>456</v>
      </c>
      <c r="AH86" t="s">
        <v>351</v>
      </c>
      <c r="AI86" t="str">
        <f t="shared" si="3"/>
        <v>KEWAUNEE   -----   C</v>
      </c>
      <c r="AK86" s="249" t="s">
        <v>348</v>
      </c>
      <c r="AM86" s="249"/>
      <c r="AN86" s="249"/>
      <c r="AO86" s="249"/>
      <c r="AP86" s="251"/>
      <c r="AQ86" s="249"/>
      <c r="AR86" s="249"/>
      <c r="AS86" s="251"/>
      <c r="AT86" s="249"/>
      <c r="AU86" s="249"/>
      <c r="AV86" s="251"/>
      <c r="AW86" s="249"/>
    </row>
    <row r="87" spans="3:49" ht="12.75"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AG87" t="s">
        <v>592</v>
      </c>
      <c r="AH87" t="s">
        <v>349</v>
      </c>
      <c r="AI87" t="str">
        <f t="shared" si="3"/>
        <v>KEWEENAW   -----   A</v>
      </c>
      <c r="AK87" s="249" t="s">
        <v>348</v>
      </c>
      <c r="AM87" s="249"/>
      <c r="AN87" s="249"/>
      <c r="AO87" s="249"/>
      <c r="AP87" s="251"/>
      <c r="AQ87" s="249"/>
      <c r="AR87" s="249"/>
      <c r="AS87" s="251"/>
      <c r="AT87" s="249"/>
      <c r="AU87" s="249"/>
      <c r="AV87" s="251"/>
      <c r="AW87" s="249"/>
    </row>
    <row r="88" spans="3:49" ht="12.75"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AG88" t="s">
        <v>593</v>
      </c>
      <c r="AH88" t="s">
        <v>350</v>
      </c>
      <c r="AI88" t="str">
        <f t="shared" si="3"/>
        <v>KIBBIE   -----   B</v>
      </c>
      <c r="AK88" s="249" t="s">
        <v>348</v>
      </c>
      <c r="AM88" s="249"/>
      <c r="AN88" s="249"/>
      <c r="AO88" s="249"/>
      <c r="AP88" s="251"/>
      <c r="AQ88" s="249"/>
      <c r="AR88" s="249"/>
      <c r="AS88" s="251"/>
      <c r="AT88" s="249"/>
      <c r="AU88" s="249"/>
      <c r="AV88" s="251"/>
      <c r="AW88" s="249"/>
    </row>
    <row r="89" spans="3:49" ht="12.75">
      <c r="C89" s="249"/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AG89" t="s">
        <v>594</v>
      </c>
      <c r="AH89" t="s">
        <v>351</v>
      </c>
      <c r="AI89" t="str">
        <f t="shared" si="3"/>
        <v>KIBBIE VARIANT   -----   C</v>
      </c>
      <c r="AK89" s="249" t="s">
        <v>348</v>
      </c>
      <c r="AM89" s="249"/>
      <c r="AN89" s="249"/>
      <c r="AO89" s="249"/>
      <c r="AP89" s="251"/>
      <c r="AQ89" s="249"/>
      <c r="AR89" s="249"/>
      <c r="AS89" s="251"/>
      <c r="AT89" s="249"/>
      <c r="AU89" s="249"/>
      <c r="AV89" s="251"/>
      <c r="AW89" s="249"/>
    </row>
    <row r="90" spans="3:49" ht="12.75"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AG90" t="s">
        <v>595</v>
      </c>
      <c r="AH90" t="s">
        <v>350</v>
      </c>
      <c r="AI90" t="str">
        <f t="shared" si="3"/>
        <v>KIDDER   -----   B</v>
      </c>
      <c r="AK90" s="249" t="s">
        <v>348</v>
      </c>
      <c r="AM90" s="249"/>
      <c r="AN90" s="249"/>
      <c r="AO90" s="249"/>
      <c r="AP90" s="251"/>
      <c r="AQ90" s="249"/>
      <c r="AR90" s="249"/>
      <c r="AS90" s="251"/>
      <c r="AT90" s="249"/>
      <c r="AU90" s="249"/>
      <c r="AV90" s="251"/>
      <c r="AW90" s="249"/>
    </row>
    <row r="91" spans="3:49" ht="12.75"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AG91" t="s">
        <v>596</v>
      </c>
      <c r="AH91" t="s">
        <v>347</v>
      </c>
      <c r="AI91" t="str">
        <f t="shared" si="3"/>
        <v>KINGSVILLE   -----   A/D</v>
      </c>
      <c r="AK91" s="249" t="s">
        <v>348</v>
      </c>
      <c r="AM91" s="249"/>
      <c r="AN91" s="249"/>
      <c r="AO91" s="249"/>
      <c r="AP91" s="251"/>
      <c r="AQ91" s="249"/>
      <c r="AR91" s="249"/>
      <c r="AS91" s="251"/>
      <c r="AT91" s="249"/>
      <c r="AU91" s="249"/>
      <c r="AV91" s="251"/>
      <c r="AW91" s="249"/>
    </row>
    <row r="92" spans="3:49" ht="12.75"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AG92" t="s">
        <v>597</v>
      </c>
      <c r="AH92" t="s">
        <v>349</v>
      </c>
      <c r="AI92" t="str">
        <f t="shared" si="3"/>
        <v>KIVA   -----   A</v>
      </c>
      <c r="AK92" s="249" t="s">
        <v>348</v>
      </c>
      <c r="AM92" s="251"/>
      <c r="AN92" s="249"/>
      <c r="AO92" s="249"/>
      <c r="AP92" s="251"/>
      <c r="AQ92" s="249"/>
      <c r="AR92" s="249"/>
      <c r="AS92" s="251"/>
      <c r="AT92" s="249"/>
      <c r="AU92" s="249"/>
      <c r="AV92" s="251"/>
      <c r="AW92" s="249"/>
    </row>
    <row r="93" spans="3:49" ht="12.75"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AG93" t="s">
        <v>598</v>
      </c>
      <c r="AH93" t="s">
        <v>350</v>
      </c>
      <c r="AI93" t="str">
        <f t="shared" si="3"/>
        <v>KNOWLES   -----   B</v>
      </c>
      <c r="AK93" s="249" t="s">
        <v>348</v>
      </c>
      <c r="AM93" s="251"/>
      <c r="AN93" s="249"/>
      <c r="AO93" s="249"/>
      <c r="AP93" s="251"/>
      <c r="AQ93" s="249"/>
      <c r="AR93" s="249"/>
      <c r="AS93" s="251"/>
      <c r="AT93" s="249"/>
      <c r="AU93" s="249"/>
      <c r="AV93" s="251"/>
      <c r="AW93" s="249"/>
    </row>
    <row r="94" spans="3:49" ht="12.75"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AG94" t="s">
        <v>599</v>
      </c>
      <c r="AH94" t="s">
        <v>351</v>
      </c>
      <c r="AI94" t="str">
        <f t="shared" si="3"/>
        <v>KOLBERG   -----   C</v>
      </c>
      <c r="AK94" s="249" t="s">
        <v>348</v>
      </c>
      <c r="AM94" s="251"/>
      <c r="AN94" s="249"/>
      <c r="AO94" s="249"/>
      <c r="AP94" s="251"/>
      <c r="AQ94" s="249"/>
      <c r="AR94" s="249"/>
      <c r="AS94" s="251"/>
      <c r="AT94" s="249"/>
      <c r="AU94" s="249"/>
      <c r="AV94" s="251"/>
      <c r="AW94" s="249"/>
    </row>
    <row r="95" spans="33:37" ht="12.75">
      <c r="AG95" t="s">
        <v>600</v>
      </c>
      <c r="AH95" t="s">
        <v>352</v>
      </c>
      <c r="AI95" t="str">
        <f t="shared" si="3"/>
        <v>KOLBERG VARIANT   -----   D</v>
      </c>
      <c r="AK95" s="249" t="s">
        <v>348</v>
      </c>
    </row>
    <row r="96" spans="33:37" ht="12.75">
      <c r="AG96" t="s">
        <v>601</v>
      </c>
      <c r="AH96" t="s">
        <v>351</v>
      </c>
      <c r="AI96" t="str">
        <f t="shared" si="3"/>
        <v>KOROBAGO   -----   C</v>
      </c>
      <c r="AK96" s="249" t="s">
        <v>348</v>
      </c>
    </row>
    <row r="97" spans="33:37" ht="12.75">
      <c r="AG97" t="s">
        <v>602</v>
      </c>
      <c r="AH97" t="s">
        <v>350</v>
      </c>
      <c r="AI97" t="str">
        <f t="shared" si="3"/>
        <v>KRANSKI   -----   B</v>
      </c>
      <c r="AK97" s="249" t="s">
        <v>348</v>
      </c>
    </row>
    <row r="98" spans="33:37" ht="12.75">
      <c r="AG98" t="s">
        <v>603</v>
      </c>
      <c r="AH98" t="s">
        <v>351</v>
      </c>
      <c r="AI98" t="str">
        <f t="shared" si="3"/>
        <v>LAMARTINE   -----   C</v>
      </c>
      <c r="AK98" s="249" t="s">
        <v>348</v>
      </c>
    </row>
    <row r="99" spans="33:37" ht="12.75">
      <c r="AG99" t="s">
        <v>604</v>
      </c>
      <c r="AH99" t="s">
        <v>350</v>
      </c>
      <c r="AI99" t="str">
        <f t="shared" si="3"/>
        <v>LEOLA   -----   B</v>
      </c>
      <c r="AK99" s="249" t="s">
        <v>348</v>
      </c>
    </row>
    <row r="100" spans="33:37" ht="12.75">
      <c r="AG100" t="s">
        <v>605</v>
      </c>
      <c r="AH100" t="s">
        <v>350</v>
      </c>
      <c r="AI100" t="str">
        <f t="shared" si="3"/>
        <v>LEROY   -----   B</v>
      </c>
      <c r="AK100" s="249" t="s">
        <v>348</v>
      </c>
    </row>
    <row r="101" spans="33:37" ht="12.75">
      <c r="AG101" t="s">
        <v>606</v>
      </c>
      <c r="AH101" t="s">
        <v>352</v>
      </c>
      <c r="AI101" t="str">
        <f t="shared" si="3"/>
        <v>LOBO   -----   D</v>
      </c>
      <c r="AK101" s="249" t="s">
        <v>348</v>
      </c>
    </row>
    <row r="102" spans="33:37" ht="12.75">
      <c r="AG102" t="s">
        <v>607</v>
      </c>
      <c r="AH102" t="s">
        <v>350</v>
      </c>
      <c r="AI102" t="str">
        <f t="shared" si="3"/>
        <v>LOMIRA   -----   B</v>
      </c>
      <c r="AK102" s="249" t="s">
        <v>348</v>
      </c>
    </row>
    <row r="103" spans="33:37" ht="12.75">
      <c r="AG103" t="s">
        <v>608</v>
      </c>
      <c r="AH103" t="s">
        <v>350</v>
      </c>
      <c r="AI103" t="str">
        <f t="shared" si="3"/>
        <v>LONGRIE   -----   B</v>
      </c>
      <c r="AK103" s="249" t="s">
        <v>348</v>
      </c>
    </row>
    <row r="104" spans="33:37" ht="12.75">
      <c r="AG104" t="s">
        <v>609</v>
      </c>
      <c r="AH104" t="s">
        <v>351</v>
      </c>
      <c r="AI104" t="str">
        <f t="shared" si="3"/>
        <v>LORENZO VARIANT   -----   C</v>
      </c>
      <c r="AK104" s="249" t="s">
        <v>348</v>
      </c>
    </row>
    <row r="105" spans="33:37" ht="12.75">
      <c r="AG105" t="s">
        <v>609</v>
      </c>
      <c r="AH105" t="s">
        <v>350</v>
      </c>
      <c r="AI105" t="str">
        <f t="shared" si="3"/>
        <v>LORENZO VARIANT   -----   B</v>
      </c>
      <c r="AK105" s="249" t="s">
        <v>348</v>
      </c>
    </row>
    <row r="106" spans="33:37" ht="12.75">
      <c r="AG106" t="s">
        <v>610</v>
      </c>
      <c r="AH106" t="s">
        <v>347</v>
      </c>
      <c r="AI106" t="str">
        <f t="shared" si="3"/>
        <v>LOXLEY   -----   A/D</v>
      </c>
      <c r="AK106" s="249" t="s">
        <v>348</v>
      </c>
    </row>
    <row r="107" spans="33:37" ht="12.75">
      <c r="AG107" t="s">
        <v>611</v>
      </c>
      <c r="AH107" t="s">
        <v>347</v>
      </c>
      <c r="AI107" t="str">
        <f t="shared" si="3"/>
        <v>LUPTON   -----   A/D</v>
      </c>
      <c r="AK107" s="249" t="s">
        <v>348</v>
      </c>
    </row>
    <row r="108" spans="33:37" ht="12.75">
      <c r="AG108" t="s">
        <v>612</v>
      </c>
      <c r="AH108" t="s">
        <v>350</v>
      </c>
      <c r="AI108" t="str">
        <f t="shared" si="3"/>
        <v>LUTZKE   -----   B</v>
      </c>
      <c r="AK108" s="249" t="s">
        <v>348</v>
      </c>
    </row>
    <row r="109" spans="33:37" ht="12.75">
      <c r="AG109" t="s">
        <v>613</v>
      </c>
      <c r="AH109" t="s">
        <v>349</v>
      </c>
      <c r="AI109" t="str">
        <f t="shared" si="3"/>
        <v>MAHTOMEDI   -----   A</v>
      </c>
      <c r="AK109" s="249" t="s">
        <v>348</v>
      </c>
    </row>
    <row r="110" spans="33:37" ht="12.75">
      <c r="AG110" t="s">
        <v>614</v>
      </c>
      <c r="AH110" t="s">
        <v>351</v>
      </c>
      <c r="AI110" t="str">
        <f t="shared" si="3"/>
        <v>MANAWA   -----   C</v>
      </c>
      <c r="AK110" s="249" t="s">
        <v>348</v>
      </c>
    </row>
    <row r="111" spans="33:37" ht="12.75">
      <c r="AG111" t="s">
        <v>615</v>
      </c>
      <c r="AH111" t="s">
        <v>349</v>
      </c>
      <c r="AI111" t="str">
        <f t="shared" si="3"/>
        <v>MANCELONA   -----   A</v>
      </c>
      <c r="AK111" s="249" t="s">
        <v>348</v>
      </c>
    </row>
    <row r="112" spans="33:37" ht="12.75">
      <c r="AG112" t="s">
        <v>616</v>
      </c>
      <c r="AH112" t="s">
        <v>349</v>
      </c>
      <c r="AI112" t="str">
        <f t="shared" si="3"/>
        <v>MANISTEE   -----   A</v>
      </c>
      <c r="AK112" s="249" t="s">
        <v>348</v>
      </c>
    </row>
    <row r="113" spans="33:37" ht="12.75">
      <c r="AG113" t="s">
        <v>617</v>
      </c>
      <c r="AH113" t="s">
        <v>347</v>
      </c>
      <c r="AI113" t="str">
        <f t="shared" si="3"/>
        <v>MARKEY   -----   A/D</v>
      </c>
      <c r="AK113" s="249" t="s">
        <v>348</v>
      </c>
    </row>
    <row r="114" spans="33:37" ht="12.75">
      <c r="AG114" t="s">
        <v>618</v>
      </c>
      <c r="AH114" t="s">
        <v>350</v>
      </c>
      <c r="AI114" t="str">
        <f t="shared" si="3"/>
        <v>MATHERTON   -----   B</v>
      </c>
      <c r="AK114" s="249" t="s">
        <v>348</v>
      </c>
    </row>
    <row r="115" spans="33:37" ht="12.75">
      <c r="AG115" t="s">
        <v>619</v>
      </c>
      <c r="AH115" t="s">
        <v>350</v>
      </c>
      <c r="AI115" t="str">
        <f t="shared" si="3"/>
        <v>MAYVILLE   -----   B</v>
      </c>
      <c r="AK115" s="249" t="s">
        <v>348</v>
      </c>
    </row>
    <row r="116" spans="33:37" ht="12.75">
      <c r="AG116" t="s">
        <v>620</v>
      </c>
      <c r="AH116" t="s">
        <v>350</v>
      </c>
      <c r="AI116" t="str">
        <f t="shared" si="3"/>
        <v>MCHENRY   -----   B</v>
      </c>
      <c r="AK116" s="249" t="s">
        <v>348</v>
      </c>
    </row>
    <row r="117" spans="33:37" ht="12.75">
      <c r="AG117" t="s">
        <v>621</v>
      </c>
      <c r="AH117" t="s">
        <v>351</v>
      </c>
      <c r="AI117" t="str">
        <f t="shared" si="3"/>
        <v>MEADLAND   -----   C</v>
      </c>
      <c r="AK117" s="249" t="s">
        <v>348</v>
      </c>
    </row>
    <row r="118" spans="33:37" ht="12.75">
      <c r="AG118" t="s">
        <v>622</v>
      </c>
      <c r="AH118" t="s">
        <v>350</v>
      </c>
      <c r="AI118" t="str">
        <f t="shared" si="3"/>
        <v>MECAN   -----   B</v>
      </c>
      <c r="AK118" s="249" t="s">
        <v>348</v>
      </c>
    </row>
    <row r="119" spans="33:37" ht="12.75">
      <c r="AG119" t="s">
        <v>623</v>
      </c>
      <c r="AH119" t="s">
        <v>349</v>
      </c>
      <c r="AI119" t="str">
        <f t="shared" si="3"/>
        <v>MECOSTA   -----   A</v>
      </c>
      <c r="AK119" s="249" t="s">
        <v>348</v>
      </c>
    </row>
    <row r="120" spans="33:37" ht="12.75">
      <c r="AG120" t="s">
        <v>624</v>
      </c>
      <c r="AH120" t="s">
        <v>350</v>
      </c>
      <c r="AI120" t="str">
        <f t="shared" si="3"/>
        <v>MEEHAN   -----   B</v>
      </c>
      <c r="AK120" s="249" t="s">
        <v>348</v>
      </c>
    </row>
    <row r="121" spans="33:37" ht="12.75">
      <c r="AG121" t="s">
        <v>625</v>
      </c>
      <c r="AH121" t="s">
        <v>350</v>
      </c>
      <c r="AI121" t="str">
        <f t="shared" si="3"/>
        <v>MEEHAN VARIANT   -----   B</v>
      </c>
      <c r="AK121" s="249" t="s">
        <v>348</v>
      </c>
    </row>
    <row r="122" spans="33:37" ht="12.75">
      <c r="AG122" t="s">
        <v>626</v>
      </c>
      <c r="AH122" t="s">
        <v>349</v>
      </c>
      <c r="AI122" t="str">
        <f t="shared" si="3"/>
        <v>MENAHGA   -----   A</v>
      </c>
      <c r="AK122" s="249" t="s">
        <v>348</v>
      </c>
    </row>
    <row r="123" spans="33:37" ht="12.75">
      <c r="AG123" t="s">
        <v>627</v>
      </c>
      <c r="AH123" t="s">
        <v>352</v>
      </c>
      <c r="AI123" t="str">
        <f t="shared" si="3"/>
        <v>MENASHA   -----   D</v>
      </c>
      <c r="AK123" s="249" t="s">
        <v>348</v>
      </c>
    </row>
    <row r="124" spans="33:37" ht="12.75">
      <c r="AG124" t="s">
        <v>484</v>
      </c>
      <c r="AH124" t="s">
        <v>349</v>
      </c>
      <c r="AI124" t="str">
        <f t="shared" si="3"/>
        <v>MENOMINEE   -----   A</v>
      </c>
      <c r="AK124" s="249" t="s">
        <v>348</v>
      </c>
    </row>
    <row r="125" spans="33:37" ht="12.75">
      <c r="AG125" t="s">
        <v>628</v>
      </c>
      <c r="AH125" t="s">
        <v>350</v>
      </c>
      <c r="AI125" t="str">
        <f t="shared" si="3"/>
        <v>MENOMINEE VARIAN   -----   B</v>
      </c>
      <c r="AK125" s="249" t="s">
        <v>348</v>
      </c>
    </row>
    <row r="126" spans="33:37" ht="12.75">
      <c r="AG126" t="s">
        <v>629</v>
      </c>
      <c r="AH126" t="s">
        <v>351</v>
      </c>
      <c r="AI126" t="str">
        <f t="shared" si="3"/>
        <v>MICHIGAMME   -----   C</v>
      </c>
      <c r="AK126" s="249" t="s">
        <v>348</v>
      </c>
    </row>
    <row r="127" spans="33:37" ht="12.75">
      <c r="AG127" t="s">
        <v>630</v>
      </c>
      <c r="AH127" t="s">
        <v>350</v>
      </c>
      <c r="AI127" t="str">
        <f t="shared" si="3"/>
        <v>MILITARY   -----   B</v>
      </c>
      <c r="AK127" s="249" t="s">
        <v>348</v>
      </c>
    </row>
    <row r="128" spans="33:37" ht="12.75">
      <c r="AG128" t="s">
        <v>631</v>
      </c>
      <c r="AH128" t="s">
        <v>378</v>
      </c>
      <c r="AI128" t="str">
        <f aca="true" t="shared" si="4" ref="AI128:AI191">soils1&amp;soils3&amp;soils2</f>
        <v>MINOCQUA   -----   B/D</v>
      </c>
      <c r="AK128" s="249" t="s">
        <v>348</v>
      </c>
    </row>
    <row r="129" spans="33:37" ht="12.75">
      <c r="AG129" t="s">
        <v>632</v>
      </c>
      <c r="AH129" t="s">
        <v>351</v>
      </c>
      <c r="AI129" t="str">
        <f t="shared" si="4"/>
        <v>MONICO   -----   C</v>
      </c>
      <c r="AK129" s="249" t="s">
        <v>348</v>
      </c>
    </row>
    <row r="130" spans="33:37" ht="12.75">
      <c r="AG130" t="s">
        <v>633</v>
      </c>
      <c r="AH130" t="s">
        <v>350</v>
      </c>
      <c r="AI130" t="str">
        <f t="shared" si="4"/>
        <v>MOQUAH   -----   B</v>
      </c>
      <c r="AK130" s="249" t="s">
        <v>348</v>
      </c>
    </row>
    <row r="131" spans="33:37" ht="12.75">
      <c r="AG131" t="s">
        <v>634</v>
      </c>
      <c r="AH131" t="s">
        <v>350</v>
      </c>
      <c r="AI131" t="str">
        <f t="shared" si="4"/>
        <v>MOROCCO   -----   B</v>
      </c>
      <c r="AK131" s="249" t="s">
        <v>348</v>
      </c>
    </row>
    <row r="132" spans="33:37" ht="12.75">
      <c r="AG132" t="s">
        <v>635</v>
      </c>
      <c r="AH132" t="s">
        <v>351</v>
      </c>
      <c r="AI132" t="str">
        <f t="shared" si="4"/>
        <v>MOSEL   -----   C</v>
      </c>
      <c r="AK132" s="249" t="s">
        <v>348</v>
      </c>
    </row>
    <row r="133" spans="33:37" ht="12.75">
      <c r="AG133" t="s">
        <v>636</v>
      </c>
      <c r="AH133" t="s">
        <v>350</v>
      </c>
      <c r="AI133" t="str">
        <f t="shared" si="4"/>
        <v>MOSINEE   -----   B</v>
      </c>
      <c r="AK133" s="249" t="s">
        <v>348</v>
      </c>
    </row>
    <row r="134" spans="33:37" ht="12.75">
      <c r="AG134" t="s">
        <v>637</v>
      </c>
      <c r="AH134" t="s">
        <v>350</v>
      </c>
      <c r="AI134" t="str">
        <f t="shared" si="4"/>
        <v>MUNDELEIN   -----   B</v>
      </c>
      <c r="AK134" s="249" t="s">
        <v>348</v>
      </c>
    </row>
    <row r="135" spans="33:37" ht="12.75">
      <c r="AG135" t="s">
        <v>638</v>
      </c>
      <c r="AH135" t="s">
        <v>378</v>
      </c>
      <c r="AI135" t="str">
        <f t="shared" si="4"/>
        <v>MUSSEY   -----   B/D</v>
      </c>
      <c r="AK135" s="249" t="s">
        <v>348</v>
      </c>
    </row>
    <row r="136" spans="33:37" ht="12.75">
      <c r="AG136" t="s">
        <v>639</v>
      </c>
      <c r="AH136" t="s">
        <v>350</v>
      </c>
      <c r="AI136" t="str">
        <f t="shared" si="4"/>
        <v>NADEAU   -----   B</v>
      </c>
      <c r="AK136" s="249" t="s">
        <v>348</v>
      </c>
    </row>
    <row r="137" spans="33:37" ht="12.75">
      <c r="AG137" t="s">
        <v>640</v>
      </c>
      <c r="AH137" t="s">
        <v>378</v>
      </c>
      <c r="AI137" t="str">
        <f t="shared" si="4"/>
        <v>NAHMA   -----   B/D</v>
      </c>
      <c r="AK137" s="249" t="s">
        <v>348</v>
      </c>
    </row>
    <row r="138" spans="33:37" ht="12.75">
      <c r="AG138" t="s">
        <v>641</v>
      </c>
      <c r="AH138" t="s">
        <v>352</v>
      </c>
      <c r="AI138" t="str">
        <f t="shared" si="4"/>
        <v>NAMUR   -----   D</v>
      </c>
      <c r="AK138" s="249" t="s">
        <v>348</v>
      </c>
    </row>
    <row r="139" spans="33:37" ht="12.75">
      <c r="AG139" t="s">
        <v>642</v>
      </c>
      <c r="AH139" t="s">
        <v>352</v>
      </c>
      <c r="AI139" t="str">
        <f t="shared" si="4"/>
        <v>NAMUR VARIANT   -----   D</v>
      </c>
      <c r="AK139" s="249" t="s">
        <v>348</v>
      </c>
    </row>
    <row r="140" spans="33:37" ht="12.75">
      <c r="AG140" t="s">
        <v>643</v>
      </c>
      <c r="AH140" t="s">
        <v>352</v>
      </c>
      <c r="AI140" t="str">
        <f t="shared" si="4"/>
        <v>NAVAN   -----   D</v>
      </c>
      <c r="AK140" s="249" t="s">
        <v>348</v>
      </c>
    </row>
    <row r="141" spans="33:37" ht="12.75">
      <c r="AG141" t="s">
        <v>644</v>
      </c>
      <c r="AH141" t="s">
        <v>351</v>
      </c>
      <c r="AI141" t="str">
        <f t="shared" si="4"/>
        <v>NEBAGO   -----   C</v>
      </c>
      <c r="AK141" s="249" t="s">
        <v>348</v>
      </c>
    </row>
    <row r="142" spans="33:37" ht="12.75">
      <c r="AG142" t="s">
        <v>645</v>
      </c>
      <c r="AH142" t="s">
        <v>378</v>
      </c>
      <c r="AI142" t="str">
        <f t="shared" si="4"/>
        <v>NEBAGO VARIANT   -----   B/D</v>
      </c>
      <c r="AK142" s="249" t="s">
        <v>348</v>
      </c>
    </row>
    <row r="143" spans="33:37" ht="12.75">
      <c r="AG143" t="s">
        <v>646</v>
      </c>
      <c r="AH143" t="s">
        <v>351</v>
      </c>
      <c r="AI143" t="str">
        <f t="shared" si="4"/>
        <v>NEENAH   -----   C</v>
      </c>
      <c r="AK143" s="249" t="s">
        <v>348</v>
      </c>
    </row>
    <row r="144" spans="33:37" ht="12.75">
      <c r="AG144" t="s">
        <v>647</v>
      </c>
      <c r="AH144" t="s">
        <v>351</v>
      </c>
      <c r="AI144" t="str">
        <f t="shared" si="4"/>
        <v>NENNO   -----   C</v>
      </c>
      <c r="AK144" s="249" t="s">
        <v>348</v>
      </c>
    </row>
    <row r="145" spans="33:37" ht="12.75">
      <c r="AG145" t="s">
        <v>648</v>
      </c>
      <c r="AH145" t="s">
        <v>351</v>
      </c>
      <c r="AI145" t="str">
        <f t="shared" si="4"/>
        <v>NESTER   -----   C</v>
      </c>
      <c r="AK145" s="249" t="s">
        <v>348</v>
      </c>
    </row>
    <row r="146" spans="33:37" ht="12.75">
      <c r="AG146" t="s">
        <v>649</v>
      </c>
      <c r="AH146" t="s">
        <v>350</v>
      </c>
      <c r="AI146" t="str">
        <f t="shared" si="4"/>
        <v>NICHOLS   -----   B</v>
      </c>
      <c r="AK146" s="249" t="s">
        <v>348</v>
      </c>
    </row>
    <row r="147" spans="33:37" ht="12.75">
      <c r="AG147" t="s">
        <v>650</v>
      </c>
      <c r="AH147" t="s">
        <v>350</v>
      </c>
      <c r="AI147" t="str">
        <f t="shared" si="4"/>
        <v>NORGO VARIANT   -----   B</v>
      </c>
      <c r="AK147" s="249" t="s">
        <v>348</v>
      </c>
    </row>
    <row r="148" spans="33:37" ht="12.75">
      <c r="AG148" t="s">
        <v>651</v>
      </c>
      <c r="AH148" t="s">
        <v>349</v>
      </c>
      <c r="AI148" t="str">
        <f t="shared" si="4"/>
        <v>OAKVILLE   -----   A</v>
      </c>
      <c r="AK148" s="249" t="s">
        <v>348</v>
      </c>
    </row>
    <row r="149" spans="33:37" ht="12.75">
      <c r="AG149" t="s">
        <v>492</v>
      </c>
      <c r="AH149" t="s">
        <v>350</v>
      </c>
      <c r="AI149" t="str">
        <f t="shared" si="4"/>
        <v>OCONTO   -----   B</v>
      </c>
      <c r="AK149" s="249" t="s">
        <v>348</v>
      </c>
    </row>
    <row r="150" spans="33:37" ht="12.75">
      <c r="AG150" t="s">
        <v>652</v>
      </c>
      <c r="AH150" t="s">
        <v>351</v>
      </c>
      <c r="AI150" t="str">
        <f t="shared" si="4"/>
        <v>OESTERLE   -----   C</v>
      </c>
      <c r="AK150" s="249" t="s">
        <v>348</v>
      </c>
    </row>
    <row r="151" spans="33:37" ht="12.75">
      <c r="AG151" t="s">
        <v>653</v>
      </c>
      <c r="AH151" t="s">
        <v>351</v>
      </c>
      <c r="AI151" t="str">
        <f t="shared" si="4"/>
        <v>OESTERLE VARIANT   -----   C</v>
      </c>
      <c r="AK151" s="249" t="s">
        <v>348</v>
      </c>
    </row>
    <row r="152" spans="33:37" ht="12.75">
      <c r="AG152" t="s">
        <v>654</v>
      </c>
      <c r="AH152" t="s">
        <v>347</v>
      </c>
      <c r="AI152" t="str">
        <f t="shared" si="4"/>
        <v>OGDEN   -----   A/D</v>
      </c>
      <c r="AK152" s="249" t="s">
        <v>348</v>
      </c>
    </row>
    <row r="153" spans="33:37" ht="12.75">
      <c r="AG153" t="s">
        <v>655</v>
      </c>
      <c r="AH153" t="s">
        <v>350</v>
      </c>
      <c r="AI153" t="str">
        <f t="shared" si="4"/>
        <v>OKEE   -----   B</v>
      </c>
      <c r="AK153" s="249" t="s">
        <v>348</v>
      </c>
    </row>
    <row r="154" spans="33:37" ht="12.75">
      <c r="AG154" t="s">
        <v>656</v>
      </c>
      <c r="AH154" t="s">
        <v>350</v>
      </c>
      <c r="AI154" t="str">
        <f t="shared" si="4"/>
        <v>OMENA   -----   B</v>
      </c>
      <c r="AK154" s="249" t="s">
        <v>348</v>
      </c>
    </row>
    <row r="155" spans="33:37" ht="12.75">
      <c r="AG155" t="s">
        <v>657</v>
      </c>
      <c r="AH155" t="s">
        <v>351</v>
      </c>
      <c r="AI155" t="str">
        <f t="shared" si="4"/>
        <v>OMENA VARIANT   -----   C</v>
      </c>
      <c r="AK155" s="249" t="s">
        <v>348</v>
      </c>
    </row>
    <row r="156" spans="33:37" ht="12.75">
      <c r="AG156" t="s">
        <v>658</v>
      </c>
      <c r="AH156" t="s">
        <v>351</v>
      </c>
      <c r="AI156" t="str">
        <f t="shared" si="4"/>
        <v>OMRO   -----   C</v>
      </c>
      <c r="AK156" s="249" t="s">
        <v>348</v>
      </c>
    </row>
    <row r="157" spans="33:37" ht="12.75">
      <c r="AG157" t="s">
        <v>659</v>
      </c>
      <c r="AH157" t="s">
        <v>350</v>
      </c>
      <c r="AI157" t="str">
        <f t="shared" si="4"/>
        <v>ONAWAY   -----   B</v>
      </c>
      <c r="AK157" s="249" t="s">
        <v>348</v>
      </c>
    </row>
    <row r="158" spans="33:37" ht="12.75">
      <c r="AG158" t="s">
        <v>660</v>
      </c>
      <c r="AH158" t="s">
        <v>351</v>
      </c>
      <c r="AI158" t="str">
        <f t="shared" si="4"/>
        <v>OSHKOSH   -----   C</v>
      </c>
      <c r="AK158" s="249" t="s">
        <v>348</v>
      </c>
    </row>
    <row r="159" spans="33:37" ht="12.75">
      <c r="AG159" t="s">
        <v>661</v>
      </c>
      <c r="AH159" t="s">
        <v>378</v>
      </c>
      <c r="AI159" t="str">
        <f t="shared" si="4"/>
        <v>OSSIAN   -----   B/D</v>
      </c>
      <c r="AK159" s="249" t="s">
        <v>348</v>
      </c>
    </row>
    <row r="160" spans="33:37" ht="12.75">
      <c r="AG160" t="s">
        <v>662</v>
      </c>
      <c r="AH160" t="s">
        <v>350</v>
      </c>
      <c r="AI160" t="str">
        <f t="shared" si="4"/>
        <v>PADUS   -----   B</v>
      </c>
      <c r="AK160" s="249" t="s">
        <v>348</v>
      </c>
    </row>
    <row r="161" spans="33:37" ht="12.75">
      <c r="AG161" t="s">
        <v>663</v>
      </c>
      <c r="AH161" t="s">
        <v>347</v>
      </c>
      <c r="AI161" t="str">
        <f t="shared" si="4"/>
        <v>PALMS   -----   A/D</v>
      </c>
      <c r="AK161" s="249" t="s">
        <v>348</v>
      </c>
    </row>
    <row r="162" spans="33:37" ht="12.75">
      <c r="AG162" t="s">
        <v>664</v>
      </c>
      <c r="AH162" t="s">
        <v>350</v>
      </c>
      <c r="AI162" t="str">
        <f t="shared" si="4"/>
        <v>PEARL   -----   B</v>
      </c>
      <c r="AK162" s="249" t="s">
        <v>348</v>
      </c>
    </row>
    <row r="163" spans="33:37" ht="12.75">
      <c r="AG163" t="s">
        <v>665</v>
      </c>
      <c r="AH163" t="s">
        <v>349</v>
      </c>
      <c r="AI163" t="str">
        <f t="shared" si="4"/>
        <v>PELKIE   -----   A</v>
      </c>
      <c r="AK163" s="249" t="s">
        <v>348</v>
      </c>
    </row>
    <row r="164" spans="33:37" ht="12.75">
      <c r="AG164" t="s">
        <v>666</v>
      </c>
      <c r="AH164" t="s">
        <v>378</v>
      </c>
      <c r="AI164" t="str">
        <f t="shared" si="4"/>
        <v>PELLA   -----   B/D</v>
      </c>
      <c r="AK164" s="249" t="s">
        <v>348</v>
      </c>
    </row>
    <row r="165" spans="33:37" ht="12.75">
      <c r="AG165" t="s">
        <v>667</v>
      </c>
      <c r="AH165" t="s">
        <v>350</v>
      </c>
      <c r="AI165" t="str">
        <f t="shared" si="4"/>
        <v>PENCE   -----   B</v>
      </c>
      <c r="AK165" s="249" t="s">
        <v>348</v>
      </c>
    </row>
    <row r="166" spans="33:37" ht="12.75">
      <c r="AG166" t="s">
        <v>668</v>
      </c>
      <c r="AH166" t="s">
        <v>352</v>
      </c>
      <c r="AI166" t="str">
        <f t="shared" si="4"/>
        <v>PESHEKEE   -----   D</v>
      </c>
      <c r="AK166" s="249" t="s">
        <v>348</v>
      </c>
    </row>
    <row r="167" spans="33:37" ht="12.75">
      <c r="AG167" t="s">
        <v>669</v>
      </c>
      <c r="AH167" t="s">
        <v>352</v>
      </c>
      <c r="AI167" t="str">
        <f t="shared" si="4"/>
        <v>PICKFORD   -----   D</v>
      </c>
      <c r="AK167" s="249" t="s">
        <v>348</v>
      </c>
    </row>
    <row r="168" spans="33:37" ht="12.75">
      <c r="AG168" t="s">
        <v>670</v>
      </c>
      <c r="AH168" t="s">
        <v>378</v>
      </c>
      <c r="AI168" t="str">
        <f t="shared" si="4"/>
        <v>PINCONNING   -----   B/D</v>
      </c>
      <c r="AK168" s="249" t="s">
        <v>348</v>
      </c>
    </row>
    <row r="169" spans="33:37" ht="12.75">
      <c r="AG169" t="s">
        <v>671</v>
      </c>
      <c r="AH169" t="s">
        <v>349</v>
      </c>
      <c r="AI169" t="str">
        <f t="shared" si="4"/>
        <v>PLAINBO   -----   A</v>
      </c>
      <c r="AK169" s="249" t="s">
        <v>348</v>
      </c>
    </row>
    <row r="170" spans="33:37" ht="12.75">
      <c r="AG170" t="s">
        <v>672</v>
      </c>
      <c r="AH170" t="s">
        <v>349</v>
      </c>
      <c r="AI170" t="str">
        <f t="shared" si="4"/>
        <v>PLAINFIELD   -----   A</v>
      </c>
      <c r="AK170" s="249" t="s">
        <v>348</v>
      </c>
    </row>
    <row r="171" spans="33:37" ht="12.75">
      <c r="AG171" t="s">
        <v>673</v>
      </c>
      <c r="AH171" t="s">
        <v>349</v>
      </c>
      <c r="AI171" t="str">
        <f t="shared" si="4"/>
        <v>PLAINFIELD VARIA   -----   A</v>
      </c>
      <c r="AK171" s="249" t="s">
        <v>348</v>
      </c>
    </row>
    <row r="172" spans="33:37" ht="12.75">
      <c r="AG172" t="s">
        <v>674</v>
      </c>
      <c r="AH172" t="s">
        <v>350</v>
      </c>
      <c r="AI172" t="str">
        <f t="shared" si="4"/>
        <v>PLANO   -----   B</v>
      </c>
      <c r="AK172" s="249" t="s">
        <v>348</v>
      </c>
    </row>
    <row r="173" spans="33:37" ht="12.75">
      <c r="AG173" t="s">
        <v>675</v>
      </c>
      <c r="AH173" t="s">
        <v>351</v>
      </c>
      <c r="AI173" t="str">
        <f t="shared" si="4"/>
        <v>PLOVER   -----   C</v>
      </c>
      <c r="AK173" s="249" t="s">
        <v>348</v>
      </c>
    </row>
    <row r="174" spans="33:37" ht="12.75">
      <c r="AG174" t="s">
        <v>676</v>
      </c>
      <c r="AH174" t="s">
        <v>351</v>
      </c>
      <c r="AI174" t="str">
        <f t="shared" si="4"/>
        <v>POINT   -----   C</v>
      </c>
      <c r="AK174" s="249" t="s">
        <v>348</v>
      </c>
    </row>
    <row r="175" spans="33:37" ht="12.75">
      <c r="AG175" t="s">
        <v>677</v>
      </c>
      <c r="AH175" t="s">
        <v>351</v>
      </c>
      <c r="AI175" t="str">
        <f t="shared" si="4"/>
        <v>POSKIN   -----   C</v>
      </c>
      <c r="AK175" s="249" t="s">
        <v>348</v>
      </c>
    </row>
    <row r="176" spans="33:37" ht="12.75">
      <c r="AG176" t="s">
        <v>678</v>
      </c>
      <c r="AH176" t="s">
        <v>352</v>
      </c>
      <c r="AI176" t="str">
        <f t="shared" si="4"/>
        <v>POY   -----   D</v>
      </c>
      <c r="AK176" s="249" t="s">
        <v>348</v>
      </c>
    </row>
    <row r="177" spans="33:37" ht="12.75">
      <c r="AG177" t="s">
        <v>679</v>
      </c>
      <c r="AH177" t="s">
        <v>352</v>
      </c>
      <c r="AI177" t="str">
        <f t="shared" si="4"/>
        <v>POYGAN   -----   D</v>
      </c>
      <c r="AK177" s="249" t="s">
        <v>348</v>
      </c>
    </row>
    <row r="178" spans="33:37" ht="12.75">
      <c r="AG178" t="s">
        <v>680</v>
      </c>
      <c r="AH178" t="s">
        <v>350</v>
      </c>
      <c r="AI178" t="str">
        <f t="shared" si="4"/>
        <v>PUCHYAN   -----   B</v>
      </c>
      <c r="AK178" s="249" t="s">
        <v>348</v>
      </c>
    </row>
    <row r="179" spans="33:37" ht="12.75">
      <c r="AG179" t="s">
        <v>681</v>
      </c>
      <c r="AH179" t="s">
        <v>349</v>
      </c>
      <c r="AI179" t="str">
        <f t="shared" si="4"/>
        <v>RICHFORD   -----   A</v>
      </c>
      <c r="AK179" s="249" t="s">
        <v>348</v>
      </c>
    </row>
    <row r="180" spans="33:37" ht="12.75">
      <c r="AG180" t="s">
        <v>682</v>
      </c>
      <c r="AH180" t="s">
        <v>352</v>
      </c>
      <c r="AI180" t="str">
        <f t="shared" si="4"/>
        <v>RITCHEY   -----   D</v>
      </c>
      <c r="AK180" s="249" t="s">
        <v>348</v>
      </c>
    </row>
    <row r="181" spans="33:37" ht="12.75">
      <c r="AG181" t="s">
        <v>683</v>
      </c>
      <c r="AH181" t="s">
        <v>351</v>
      </c>
      <c r="AI181" t="str">
        <f t="shared" si="4"/>
        <v>ROCKERS   -----   C</v>
      </c>
      <c r="AK181" s="249" t="s">
        <v>348</v>
      </c>
    </row>
    <row r="182" spans="33:37" ht="12.75">
      <c r="AG182" t="s">
        <v>684</v>
      </c>
      <c r="AH182" t="s">
        <v>349</v>
      </c>
      <c r="AI182" t="str">
        <f t="shared" si="4"/>
        <v>RODMAN   -----   A</v>
      </c>
      <c r="AK182" s="249" t="s">
        <v>348</v>
      </c>
    </row>
    <row r="183" spans="33:37" ht="12.75">
      <c r="AG183" t="s">
        <v>685</v>
      </c>
      <c r="AH183" t="s">
        <v>347</v>
      </c>
      <c r="AI183" t="str">
        <f t="shared" si="4"/>
        <v>RONDEAU   -----   A/D</v>
      </c>
      <c r="AK183" s="249" t="s">
        <v>348</v>
      </c>
    </row>
    <row r="184" spans="33:37" ht="12.75">
      <c r="AG184" t="s">
        <v>686</v>
      </c>
      <c r="AH184" t="s">
        <v>347</v>
      </c>
      <c r="AI184" t="str">
        <f t="shared" si="4"/>
        <v>ROSCOMMON   -----   A/D</v>
      </c>
      <c r="AK184" s="249" t="s">
        <v>348</v>
      </c>
    </row>
    <row r="185" spans="33:37" ht="12.75">
      <c r="AG185" t="s">
        <v>687</v>
      </c>
      <c r="AH185" t="s">
        <v>378</v>
      </c>
      <c r="AI185" t="str">
        <f t="shared" si="4"/>
        <v>ROSCOMMON VARIAN   -----   B/D</v>
      </c>
      <c r="AK185" s="249" t="s">
        <v>348</v>
      </c>
    </row>
    <row r="186" spans="33:37" ht="12.75">
      <c r="AG186" t="s">
        <v>688</v>
      </c>
      <c r="AH186" t="s">
        <v>350</v>
      </c>
      <c r="AI186" t="str">
        <f t="shared" si="4"/>
        <v>ROSHOLT   -----   B</v>
      </c>
      <c r="AK186" s="249" t="s">
        <v>348</v>
      </c>
    </row>
    <row r="187" spans="33:37" ht="12.75">
      <c r="AG187" t="s">
        <v>689</v>
      </c>
      <c r="AH187" t="s">
        <v>349</v>
      </c>
      <c r="AI187" t="str">
        <f t="shared" si="4"/>
        <v>ROSHOLT VARIANT   -----   A</v>
      </c>
      <c r="AK187" s="249" t="s">
        <v>348</v>
      </c>
    </row>
    <row r="188" spans="33:37" ht="12.75">
      <c r="AG188" t="s">
        <v>689</v>
      </c>
      <c r="AH188" t="s">
        <v>350</v>
      </c>
      <c r="AI188" t="str">
        <f t="shared" si="4"/>
        <v>ROSHOLT VARIANT   -----   B</v>
      </c>
      <c r="AK188" s="249" t="s">
        <v>348</v>
      </c>
    </row>
    <row r="189" spans="33:37" ht="12.75">
      <c r="AG189" t="s">
        <v>690</v>
      </c>
      <c r="AH189" t="s">
        <v>349</v>
      </c>
      <c r="AI189" t="str">
        <f t="shared" si="4"/>
        <v>ROUSSEAU   -----   A</v>
      </c>
      <c r="AK189" s="249" t="s">
        <v>348</v>
      </c>
    </row>
    <row r="190" spans="33:37" ht="12.75">
      <c r="AG190" t="s">
        <v>691</v>
      </c>
      <c r="AH190" t="s">
        <v>350</v>
      </c>
      <c r="AI190" t="str">
        <f t="shared" si="4"/>
        <v>ROZELLVILLE   -----   B</v>
      </c>
      <c r="AK190" s="249" t="s">
        <v>348</v>
      </c>
    </row>
    <row r="191" spans="33:37" ht="12.75">
      <c r="AG191" t="s">
        <v>692</v>
      </c>
      <c r="AH191" t="s">
        <v>349</v>
      </c>
      <c r="AI191" t="str">
        <f t="shared" si="4"/>
        <v>RUBICON   -----   A</v>
      </c>
      <c r="AK191" s="249" t="s">
        <v>348</v>
      </c>
    </row>
    <row r="192" spans="33:37" ht="12.75">
      <c r="AG192" t="s">
        <v>693</v>
      </c>
      <c r="AH192" t="s">
        <v>352</v>
      </c>
      <c r="AI192" t="str">
        <f aca="true" t="shared" si="5" ref="AI192:AI245">soils1&amp;soils3&amp;soils2</f>
        <v>RUSE   -----   D</v>
      </c>
      <c r="AK192" s="249" t="s">
        <v>348</v>
      </c>
    </row>
    <row r="193" spans="33:37" ht="12.75">
      <c r="AG193" t="s">
        <v>694</v>
      </c>
      <c r="AH193" t="s">
        <v>350</v>
      </c>
      <c r="AI193" t="str">
        <f t="shared" si="5"/>
        <v>SALTER   -----   B</v>
      </c>
      <c r="AK193" s="249" t="s">
        <v>348</v>
      </c>
    </row>
    <row r="194" spans="33:37" ht="12.75">
      <c r="AG194" t="s">
        <v>695</v>
      </c>
      <c r="AH194" t="s">
        <v>350</v>
      </c>
      <c r="AI194" t="str">
        <f t="shared" si="5"/>
        <v>SALTER VARIANT   -----   B</v>
      </c>
      <c r="AK194" s="249" t="s">
        <v>348</v>
      </c>
    </row>
    <row r="195" spans="33:37" ht="12.75">
      <c r="AG195" t="s">
        <v>696</v>
      </c>
      <c r="AH195" t="s">
        <v>350</v>
      </c>
      <c r="AI195" t="str">
        <f t="shared" si="5"/>
        <v>SARONA   -----   B</v>
      </c>
      <c r="AK195" s="249" t="s">
        <v>348</v>
      </c>
    </row>
    <row r="196" spans="33:37" ht="12.75">
      <c r="AG196" t="s">
        <v>697</v>
      </c>
      <c r="AH196" t="s">
        <v>349</v>
      </c>
      <c r="AI196" t="str">
        <f t="shared" si="5"/>
        <v>SAYNER   -----   A</v>
      </c>
      <c r="AK196" s="249" t="s">
        <v>348</v>
      </c>
    </row>
    <row r="197" spans="33:37" ht="12.75">
      <c r="AG197" t="s">
        <v>698</v>
      </c>
      <c r="AH197" t="s">
        <v>350</v>
      </c>
      <c r="AI197" t="str">
        <f t="shared" si="5"/>
        <v>SCOTT LAKE   -----   B</v>
      </c>
      <c r="AK197" s="249" t="s">
        <v>348</v>
      </c>
    </row>
    <row r="198" spans="33:37" ht="12.75">
      <c r="AG198" t="s">
        <v>699</v>
      </c>
      <c r="AH198" t="s">
        <v>378</v>
      </c>
      <c r="AI198" t="str">
        <f t="shared" si="5"/>
        <v>SEBEWA   -----   B/D</v>
      </c>
      <c r="AK198" s="249" t="s">
        <v>348</v>
      </c>
    </row>
    <row r="199" spans="33:37" ht="12.75">
      <c r="AG199" t="s">
        <v>700</v>
      </c>
      <c r="AH199" t="s">
        <v>347</v>
      </c>
      <c r="AI199" t="str">
        <f t="shared" si="5"/>
        <v>SEELYEVILLE   -----   A/D</v>
      </c>
      <c r="AK199" s="249" t="s">
        <v>348</v>
      </c>
    </row>
    <row r="200" spans="33:37" ht="12.75">
      <c r="AG200" t="s">
        <v>701</v>
      </c>
      <c r="AH200" t="s">
        <v>351</v>
      </c>
      <c r="AI200" t="str">
        <f t="shared" si="5"/>
        <v>SELKIRK   -----   C</v>
      </c>
      <c r="AK200" s="249" t="s">
        <v>348</v>
      </c>
    </row>
    <row r="201" spans="33:37" ht="12.75">
      <c r="AG201" t="s">
        <v>537</v>
      </c>
      <c r="AH201" t="s">
        <v>349</v>
      </c>
      <c r="AI201" t="str">
        <f t="shared" si="5"/>
        <v>SHAWANO   -----   A</v>
      </c>
      <c r="AK201" s="249" t="s">
        <v>348</v>
      </c>
    </row>
    <row r="202" spans="33:37" ht="12.75">
      <c r="AG202" t="s">
        <v>702</v>
      </c>
      <c r="AH202" t="s">
        <v>378</v>
      </c>
      <c r="AI202" t="str">
        <f t="shared" si="5"/>
        <v>SHERRY   -----   B/D</v>
      </c>
      <c r="AK202" s="249" t="s">
        <v>348</v>
      </c>
    </row>
    <row r="203" spans="33:37" ht="12.75">
      <c r="AG203" t="s">
        <v>703</v>
      </c>
      <c r="AH203" t="s">
        <v>351</v>
      </c>
      <c r="AI203" t="str">
        <f t="shared" si="5"/>
        <v>SHIOCTON   -----   C</v>
      </c>
      <c r="AK203" s="249" t="s">
        <v>348</v>
      </c>
    </row>
    <row r="204" spans="33:37" ht="12.75">
      <c r="AG204" t="s">
        <v>704</v>
      </c>
      <c r="AH204" t="s">
        <v>351</v>
      </c>
      <c r="AI204" t="str">
        <f t="shared" si="5"/>
        <v>SHIOCTON VARIANT   -----   C</v>
      </c>
      <c r="AK204" s="249" t="s">
        <v>348</v>
      </c>
    </row>
    <row r="205" spans="33:37" ht="12.75">
      <c r="AG205" t="s">
        <v>705</v>
      </c>
      <c r="AH205" t="s">
        <v>351</v>
      </c>
      <c r="AI205" t="str">
        <f t="shared" si="5"/>
        <v>SHULLSBURG VARIA   -----   C</v>
      </c>
      <c r="AK205" s="249" t="s">
        <v>348</v>
      </c>
    </row>
    <row r="206" spans="33:37" ht="12.75">
      <c r="AG206" t="s">
        <v>706</v>
      </c>
      <c r="AH206" t="s">
        <v>350</v>
      </c>
      <c r="AI206" t="str">
        <f t="shared" si="5"/>
        <v>SISSON   -----   B</v>
      </c>
      <c r="AK206" s="249" t="s">
        <v>348</v>
      </c>
    </row>
    <row r="207" spans="33:37" ht="12.75">
      <c r="AG207" t="s">
        <v>707</v>
      </c>
      <c r="AH207" t="s">
        <v>351</v>
      </c>
      <c r="AI207" t="str">
        <f t="shared" si="5"/>
        <v>SOLONA   -----   C</v>
      </c>
      <c r="AK207" s="249" t="s">
        <v>348</v>
      </c>
    </row>
    <row r="208" spans="33:37" ht="12.75">
      <c r="AG208" t="s">
        <v>708</v>
      </c>
      <c r="AH208" t="s">
        <v>349</v>
      </c>
      <c r="AI208" t="str">
        <f t="shared" si="5"/>
        <v>SPARTA   -----   A</v>
      </c>
      <c r="AK208" s="249" t="s">
        <v>348</v>
      </c>
    </row>
    <row r="209" spans="33:37" ht="12.75">
      <c r="AG209" t="s">
        <v>709</v>
      </c>
      <c r="AH209" t="s">
        <v>350</v>
      </c>
      <c r="AI209" t="str">
        <f t="shared" si="5"/>
        <v>ST. CHARLES   -----   B</v>
      </c>
      <c r="AK209" s="249" t="s">
        <v>348</v>
      </c>
    </row>
    <row r="210" spans="33:37" ht="12.75">
      <c r="AG210" t="s">
        <v>710</v>
      </c>
      <c r="AH210" t="s">
        <v>347</v>
      </c>
      <c r="AI210" t="str">
        <f t="shared" si="5"/>
        <v>SUAMICO   -----   A/D</v>
      </c>
      <c r="AK210" s="249" t="s">
        <v>348</v>
      </c>
    </row>
    <row r="211" spans="33:37" ht="12.75">
      <c r="AG211" t="s">
        <v>711</v>
      </c>
      <c r="AH211" t="s">
        <v>352</v>
      </c>
      <c r="AI211" t="str">
        <f t="shared" si="5"/>
        <v>SUMMERVILLE   -----   D</v>
      </c>
      <c r="AK211" s="249" t="s">
        <v>348</v>
      </c>
    </row>
    <row r="212" spans="33:37" ht="12.75">
      <c r="AG212" t="s">
        <v>712</v>
      </c>
      <c r="AH212" t="s">
        <v>352</v>
      </c>
      <c r="AI212" t="str">
        <f t="shared" si="5"/>
        <v>SUMMERVILLE VARI   -----   D</v>
      </c>
      <c r="AK212" s="249" t="s">
        <v>348</v>
      </c>
    </row>
    <row r="213" spans="33:37" ht="12.75">
      <c r="AG213" t="s">
        <v>713</v>
      </c>
      <c r="AH213" t="s">
        <v>351</v>
      </c>
      <c r="AI213" t="str">
        <f t="shared" si="5"/>
        <v>SYMCO   -----   C</v>
      </c>
      <c r="AK213" s="249" t="s">
        <v>348</v>
      </c>
    </row>
    <row r="214" spans="33:37" ht="12.75">
      <c r="AG214" t="s">
        <v>714</v>
      </c>
      <c r="AH214" t="s">
        <v>350</v>
      </c>
      <c r="AI214" t="str">
        <f t="shared" si="5"/>
        <v>SYMCO VARIANT   -----   B</v>
      </c>
      <c r="AK214" s="249" t="s">
        <v>348</v>
      </c>
    </row>
    <row r="215" spans="33:37" ht="12.75">
      <c r="AG215" t="s">
        <v>715</v>
      </c>
      <c r="AH215" t="s">
        <v>350</v>
      </c>
      <c r="AI215" t="str">
        <f t="shared" si="5"/>
        <v>TEDROW   -----   B</v>
      </c>
      <c r="AK215" s="249" t="s">
        <v>348</v>
      </c>
    </row>
    <row r="216" spans="33:37" ht="12.75">
      <c r="AG216" t="s">
        <v>716</v>
      </c>
      <c r="AH216" t="s">
        <v>350</v>
      </c>
      <c r="AI216" t="str">
        <f t="shared" si="5"/>
        <v>THERESA   -----   B</v>
      </c>
      <c r="AK216" s="249" t="s">
        <v>348</v>
      </c>
    </row>
    <row r="217" spans="33:37" ht="12.75">
      <c r="AG217" t="s">
        <v>717</v>
      </c>
      <c r="AH217" t="s">
        <v>350</v>
      </c>
      <c r="AI217" t="str">
        <f t="shared" si="5"/>
        <v>TILLEDA   -----   B</v>
      </c>
      <c r="AK217" s="249" t="s">
        <v>348</v>
      </c>
    </row>
    <row r="218" spans="33:37" ht="12.75">
      <c r="AG218" t="s">
        <v>718</v>
      </c>
      <c r="AH218" t="s">
        <v>350</v>
      </c>
      <c r="AI218" t="str">
        <f t="shared" si="5"/>
        <v>TILLEDA VARIANT   -----   B</v>
      </c>
      <c r="AK218" s="249" t="s">
        <v>348</v>
      </c>
    </row>
    <row r="219" spans="33:37" ht="12.75">
      <c r="AG219" t="s">
        <v>719</v>
      </c>
      <c r="AH219" t="s">
        <v>350</v>
      </c>
      <c r="AI219" t="str">
        <f t="shared" si="5"/>
        <v>TUSTIN   -----   B</v>
      </c>
      <c r="AK219" s="249" t="s">
        <v>348</v>
      </c>
    </row>
    <row r="220" spans="33:37" ht="12.75">
      <c r="AG220" t="s">
        <v>720</v>
      </c>
      <c r="AH220" t="s">
        <v>350</v>
      </c>
      <c r="AI220" t="str">
        <f t="shared" si="5"/>
        <v>UDIFLUVENTS   -----   B</v>
      </c>
      <c r="AK220" s="249" t="s">
        <v>348</v>
      </c>
    </row>
    <row r="221" spans="33:37" ht="12.75">
      <c r="AG221" t="s">
        <v>721</v>
      </c>
      <c r="AH221" t="s">
        <v>350</v>
      </c>
      <c r="AI221" t="str">
        <f t="shared" si="5"/>
        <v>UDORTHENTS   -----   B</v>
      </c>
      <c r="AK221" s="249" t="s">
        <v>348</v>
      </c>
    </row>
    <row r="222" spans="33:37" ht="12.75">
      <c r="AG222" t="s">
        <v>722</v>
      </c>
      <c r="AH222" t="s">
        <v>352</v>
      </c>
      <c r="AI222" t="str">
        <f t="shared" si="5"/>
        <v>VESPER   -----   D</v>
      </c>
      <c r="AK222" s="249" t="s">
        <v>348</v>
      </c>
    </row>
    <row r="223" spans="33:37" ht="12.75">
      <c r="AG223" t="s">
        <v>553</v>
      </c>
      <c r="AH223" t="s">
        <v>349</v>
      </c>
      <c r="AI223" t="str">
        <f t="shared" si="5"/>
        <v>VILAS   -----   A</v>
      </c>
      <c r="AK223" s="249" t="s">
        <v>348</v>
      </c>
    </row>
    <row r="224" spans="33:37" ht="12.75">
      <c r="AG224" t="s">
        <v>723</v>
      </c>
      <c r="AH224" t="s">
        <v>350</v>
      </c>
      <c r="AI224" t="str">
        <f t="shared" si="5"/>
        <v>WAINOLA   -----   B</v>
      </c>
      <c r="AK224" s="249" t="s">
        <v>348</v>
      </c>
    </row>
    <row r="225" spans="33:37" ht="12.75">
      <c r="AG225" t="s">
        <v>724</v>
      </c>
      <c r="AH225" t="s">
        <v>350</v>
      </c>
      <c r="AI225" t="str">
        <f t="shared" si="5"/>
        <v>WASEPI   -----   B</v>
      </c>
      <c r="AK225" s="249" t="s">
        <v>348</v>
      </c>
    </row>
    <row r="226" spans="33:37" ht="12.75">
      <c r="AG226" t="s">
        <v>568</v>
      </c>
      <c r="AH226" t="s">
        <v>378</v>
      </c>
      <c r="AI226" t="str">
        <f t="shared" si="5"/>
        <v>WAUPACA   -----   B/D</v>
      </c>
      <c r="AK226" s="249" t="s">
        <v>348</v>
      </c>
    </row>
    <row r="227" spans="33:37" ht="12.75">
      <c r="AG227" t="s">
        <v>725</v>
      </c>
      <c r="AH227" t="s">
        <v>378</v>
      </c>
      <c r="AI227" t="str">
        <f t="shared" si="5"/>
        <v>WAUSEON   -----   B/D</v>
      </c>
      <c r="AK227" s="249" t="s">
        <v>348</v>
      </c>
    </row>
    <row r="228" spans="33:37" ht="12.75">
      <c r="AG228" t="s">
        <v>726</v>
      </c>
      <c r="AH228" t="s">
        <v>350</v>
      </c>
      <c r="AI228" t="str">
        <f t="shared" si="5"/>
        <v>WAYMOR   -----   B</v>
      </c>
      <c r="AK228" s="249" t="s">
        <v>348</v>
      </c>
    </row>
    <row r="229" spans="33:37" ht="12.75">
      <c r="AG229" t="s">
        <v>726</v>
      </c>
      <c r="AH229" t="s">
        <v>351</v>
      </c>
      <c r="AI229" t="str">
        <f t="shared" si="5"/>
        <v>WAYMOR   -----   C</v>
      </c>
      <c r="AK229" s="249" t="s">
        <v>348</v>
      </c>
    </row>
    <row r="230" spans="33:37" ht="12.75">
      <c r="AG230" t="s">
        <v>727</v>
      </c>
      <c r="AH230" t="s">
        <v>350</v>
      </c>
      <c r="AI230" t="str">
        <f t="shared" si="5"/>
        <v>WEGA   -----   B</v>
      </c>
      <c r="AK230" s="249" t="s">
        <v>348</v>
      </c>
    </row>
    <row r="231" spans="33:37" ht="12.75">
      <c r="AG231" t="s">
        <v>728</v>
      </c>
      <c r="AH231" t="s">
        <v>350</v>
      </c>
      <c r="AI231" t="str">
        <f t="shared" si="5"/>
        <v>WHALAN   -----   B</v>
      </c>
      <c r="AK231" s="249" t="s">
        <v>348</v>
      </c>
    </row>
    <row r="232" spans="33:37" ht="12.75">
      <c r="AG232" t="s">
        <v>729</v>
      </c>
      <c r="AH232" t="s">
        <v>350</v>
      </c>
      <c r="AI232" t="str">
        <f t="shared" si="5"/>
        <v>WHALAN VARIANT   -----   B</v>
      </c>
      <c r="AK232" s="249" t="s">
        <v>348</v>
      </c>
    </row>
    <row r="233" spans="33:37" ht="12.75">
      <c r="AG233" t="s">
        <v>730</v>
      </c>
      <c r="AH233" t="s">
        <v>347</v>
      </c>
      <c r="AI233" t="str">
        <f t="shared" si="5"/>
        <v>WHEATLEY   -----   A/D</v>
      </c>
      <c r="AK233" s="249" t="s">
        <v>348</v>
      </c>
    </row>
    <row r="234" spans="33:37" ht="12.75">
      <c r="AG234" t="s">
        <v>731</v>
      </c>
      <c r="AH234" t="s">
        <v>378</v>
      </c>
      <c r="AI234" t="str">
        <f t="shared" si="5"/>
        <v>WILL   -----   B/D</v>
      </c>
      <c r="AK234" s="249" t="s">
        <v>348</v>
      </c>
    </row>
    <row r="235" spans="33:37" ht="12.75">
      <c r="AG235" t="s">
        <v>732</v>
      </c>
      <c r="AH235" t="s">
        <v>347</v>
      </c>
      <c r="AI235" t="str">
        <f t="shared" si="5"/>
        <v>WILLETTE   -----   A/D</v>
      </c>
      <c r="AK235" s="249" t="s">
        <v>348</v>
      </c>
    </row>
    <row r="236" spans="33:37" ht="12.75">
      <c r="AG236" t="s">
        <v>733</v>
      </c>
      <c r="AH236" t="s">
        <v>351</v>
      </c>
      <c r="AI236" t="str">
        <f t="shared" si="5"/>
        <v>WINNECONNE   -----   C</v>
      </c>
      <c r="AK236" s="249" t="s">
        <v>348</v>
      </c>
    </row>
    <row r="237" spans="33:37" ht="12.75">
      <c r="AG237" t="s">
        <v>734</v>
      </c>
      <c r="AH237" t="s">
        <v>347</v>
      </c>
      <c r="AI237" t="str">
        <f t="shared" si="5"/>
        <v>WINTERFIELD   -----   A/D</v>
      </c>
      <c r="AK237" s="249" t="s">
        <v>348</v>
      </c>
    </row>
    <row r="238" spans="33:37" ht="12.75">
      <c r="AG238" t="s">
        <v>735</v>
      </c>
      <c r="AH238" t="s">
        <v>351</v>
      </c>
      <c r="AI238" t="str">
        <f t="shared" si="5"/>
        <v>WORCESTER   -----   C</v>
      </c>
      <c r="AK238" s="249" t="s">
        <v>348</v>
      </c>
    </row>
    <row r="239" spans="33:37" ht="12.75">
      <c r="AG239" t="s">
        <v>736</v>
      </c>
      <c r="AH239" t="s">
        <v>350</v>
      </c>
      <c r="AI239" t="str">
        <f t="shared" si="5"/>
        <v>WYOCENA   -----   B</v>
      </c>
      <c r="AK239" s="249" t="s">
        <v>348</v>
      </c>
    </row>
    <row r="240" spans="33:37" ht="12.75">
      <c r="AG240" t="s">
        <v>737</v>
      </c>
      <c r="AH240" t="s">
        <v>350</v>
      </c>
      <c r="AI240" t="str">
        <f t="shared" si="5"/>
        <v>WYOCENA VARIANT   -----   B</v>
      </c>
      <c r="AK240" s="249" t="s">
        <v>348</v>
      </c>
    </row>
    <row r="241" spans="33:37" ht="12.75">
      <c r="AG241" t="s">
        <v>738</v>
      </c>
      <c r="AH241" t="s">
        <v>351</v>
      </c>
      <c r="AI241" t="str">
        <f t="shared" si="5"/>
        <v>YAHARA   -----   C</v>
      </c>
      <c r="AK241" s="249" t="s">
        <v>348</v>
      </c>
    </row>
    <row r="242" spans="33:37" ht="12.75">
      <c r="AG242" t="s">
        <v>739</v>
      </c>
      <c r="AH242" t="s">
        <v>352</v>
      </c>
      <c r="AI242" t="str">
        <f t="shared" si="5"/>
        <v>YAHARA VARIANT   -----   D</v>
      </c>
      <c r="AK242" s="249" t="s">
        <v>348</v>
      </c>
    </row>
    <row r="243" spans="33:37" ht="12.75">
      <c r="AG243" t="s">
        <v>740</v>
      </c>
      <c r="AH243" t="s">
        <v>351</v>
      </c>
      <c r="AI243" t="str">
        <f t="shared" si="5"/>
        <v>ZITTAU   -----   C</v>
      </c>
      <c r="AK243" s="249" t="s">
        <v>348</v>
      </c>
    </row>
    <row r="244" spans="33:37" ht="12.75">
      <c r="AG244" t="s">
        <v>741</v>
      </c>
      <c r="AH244" t="s">
        <v>352</v>
      </c>
      <c r="AI244" t="str">
        <f t="shared" si="5"/>
        <v>ZITTAU VARIANT   -----   D</v>
      </c>
      <c r="AK244" s="249" t="s">
        <v>348</v>
      </c>
    </row>
    <row r="245" spans="33:37" ht="12.75">
      <c r="AG245" t="s">
        <v>742</v>
      </c>
      <c r="AH245" t="s">
        <v>350</v>
      </c>
      <c r="AI245" t="str">
        <f t="shared" si="5"/>
        <v>ZURICH   -----   B</v>
      </c>
      <c r="AK245" s="249" t="s">
        <v>348</v>
      </c>
    </row>
  </sheetData>
  <sheetProtection/>
  <printOptions/>
  <pageMargins left="0.75" right="0.75" top="1" bottom="1" header="0.5" footer="0.5"/>
  <pageSetup fitToHeight="1" fitToWidth="1" horizontalDpi="300" verticalDpi="300" orientation="portrait" scale="34" r:id="rId2"/>
  <headerFooter alignWithMargins="0">
    <oddHeader>&amp;C&amp;A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wilsore</dc:creator>
  <cp:keywords/>
  <dc:description/>
  <cp:lastModifiedBy>Gilson, Donna J</cp:lastModifiedBy>
  <cp:lastPrinted>2005-11-02T21:18:24Z</cp:lastPrinted>
  <dcterms:created xsi:type="dcterms:W3CDTF">2001-08-30T16:05:00Z</dcterms:created>
  <dcterms:modified xsi:type="dcterms:W3CDTF">2016-08-17T20:23:57Z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bure">
    <vt:lpwstr>LWR</vt:lpwstr>
  </property>
  <property fmtid="{D5CDD505-2E9C-101B-9397-08002B2CF9AE}" pid="4" name=".purpo">
    <vt:lpwstr>15</vt:lpwstr>
  </property>
  <property fmtid="{D5CDD505-2E9C-101B-9397-08002B2CF9AE}" pid="5" name=".divisi">
    <vt:lpwstr>3</vt:lpwstr>
  </property>
  <property fmtid="{D5CDD505-2E9C-101B-9397-08002B2CF9AE}" pid="6" name=".globalNavigati">
    <vt:lpwstr>4</vt:lpwstr>
  </property>
  <property fmtid="{D5CDD505-2E9C-101B-9397-08002B2CF9AE}" pid="7" name=".progr">
    <vt:lpwstr>LivestockSiting</vt:lpwstr>
  </property>
</Properties>
</file>