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0" windowWidth="11655" windowHeight="6030" firstSheet="1" activeTab="1"/>
  </bookViews>
  <sheets>
    <sheet name="Milk Contractor Security" sheetId="1" state="hidden" r:id="rId1"/>
    <sheet name="Milk Contractor Assessment" sheetId="2" r:id="rId2"/>
  </sheets>
  <definedNames>
    <definedName name="_xlnm.Print_Area" localSheetId="1">'Milk Contractor Assessment'!$A$1:$C$45</definedName>
  </definedNames>
  <calcPr fullCalcOnLoad="1"/>
</workbook>
</file>

<file path=xl/comments1.xml><?xml version="1.0" encoding="utf-8"?>
<comments xmlns="http://schemas.openxmlformats.org/spreadsheetml/2006/main">
  <authors>
    <author>zimdaph</author>
  </authors>
  <commentList>
    <comment ref="A5" authorId="0">
      <text>
        <r>
          <rPr>
            <sz val="8"/>
            <rFont val="Tahoma"/>
            <family val="2"/>
          </rPr>
          <t>S. 126.41(6) Sworn and Notarized Statement.
As part of a license application…an applicant shall provide…
(b) The largest amount of unpaid milk payroll obligations that the milk contractor had at any time during the milk contractor's last completed fiscal year.</t>
        </r>
      </text>
    </comment>
    <comment ref="A6" authorId="0">
      <text>
        <r>
          <rPr>
            <sz val="8"/>
            <rFont val="Tahoma"/>
            <family val="2"/>
          </rPr>
          <t>S. 126.41(9) Notification Required.
A milk contractor who files security under s.126.47 shall immediately notify the department if, at any time, the milk contractor's unpaid milk payroll obligations exceed the amount last reported under sub. (6)(b).</t>
        </r>
      </text>
    </comment>
    <comment ref="A4" authorId="0">
      <text>
        <r>
          <rPr>
            <sz val="8"/>
            <rFont val="Tahoma"/>
            <family val="2"/>
          </rPr>
          <t>This amount comes from the 'Milk Contractor Assessment' worksheet.</t>
        </r>
      </text>
    </comment>
  </commentList>
</comments>
</file>

<file path=xl/comments2.xml><?xml version="1.0" encoding="utf-8"?>
<comments xmlns="http://schemas.openxmlformats.org/spreadsheetml/2006/main">
  <authors>
    <author>ZIMDAPH</author>
    <author>zimdaph</author>
  </authors>
  <commentList>
    <comment ref="A11" authorId="0">
      <text>
        <r>
          <rPr>
            <sz val="8"/>
            <rFont val="Tahoma"/>
            <family val="2"/>
          </rPr>
          <t xml:space="preserve">If your balance sheet shows </t>
        </r>
        <r>
          <rPr>
            <b/>
            <sz val="8"/>
            <rFont val="Tahoma"/>
            <family val="2"/>
          </rPr>
          <t xml:space="preserve">Negative Equity </t>
        </r>
        <r>
          <rPr>
            <sz val="8"/>
            <rFont val="Tahoma"/>
            <family val="2"/>
          </rPr>
          <t>(after adjustments), click on the Enter "Negative Equity" button.</t>
        </r>
      </text>
    </comment>
    <comment ref="A1" authorId="0">
      <text>
        <r>
          <rPr>
            <sz val="8"/>
            <rFont val="Tahoma"/>
            <family val="2"/>
          </rPr>
          <t>Enter the Milk Contractor's legal name.</t>
        </r>
      </text>
    </comment>
    <comment ref="A9" authorId="1">
      <text>
        <r>
          <rPr>
            <sz val="8"/>
            <rFont val="Tahoma"/>
            <family val="2"/>
          </rPr>
          <t xml:space="preserve">S. 126.41(6) Sworn and Notarized Statement.
As part of a license application…an applicant shall provide…
(a) The </t>
        </r>
        <r>
          <rPr>
            <b/>
            <sz val="8"/>
            <rFont val="Tahoma"/>
            <family val="2"/>
          </rPr>
          <t>total milk payroll obligations</t>
        </r>
        <r>
          <rPr>
            <sz val="8"/>
            <rFont val="Tahoma"/>
            <family val="2"/>
          </rPr>
          <t xml:space="preserve"> that the applicant incurred during the applicant's </t>
        </r>
        <r>
          <rPr>
            <b/>
            <sz val="8"/>
            <rFont val="Tahoma"/>
            <family val="2"/>
          </rPr>
          <t>last completed fiscal year</t>
        </r>
        <r>
          <rPr>
            <sz val="8"/>
            <rFont val="Tahoma"/>
            <family val="2"/>
          </rPr>
          <t>…(or an estimate if new).</t>
        </r>
      </text>
    </comment>
  </commentList>
</comments>
</file>

<file path=xl/sharedStrings.xml><?xml version="1.0" encoding="utf-8"?>
<sst xmlns="http://schemas.openxmlformats.org/spreadsheetml/2006/main" count="53" uniqueCount="43">
  <si>
    <t>Current Ratio</t>
  </si>
  <si>
    <t>Debt to Equity</t>
  </si>
  <si>
    <t>What if…</t>
  </si>
  <si>
    <t>Years</t>
  </si>
  <si>
    <t>&gt;=1.25</t>
  </si>
  <si>
    <t>&lt;1.25</t>
  </si>
  <si>
    <t>&lt;=2</t>
  </si>
  <si>
    <t>&gt;2</t>
  </si>
  <si>
    <t>No</t>
  </si>
  <si>
    <t>Yes</t>
  </si>
  <si>
    <t>Current Ratio Assessment Factor</t>
  </si>
  <si>
    <t>Current Ratio Assessment Rate</t>
  </si>
  <si>
    <t>Debt to Equity Ratio</t>
  </si>
  <si>
    <t>Debt to Equity Assessment Factor</t>
  </si>
  <si>
    <t>Debt to Equity Assessment Rate</t>
  </si>
  <si>
    <t>Entered Current Ratio Assessment Factor</t>
  </si>
  <si>
    <t>Entered Debt to Equity Assessment Factor</t>
  </si>
  <si>
    <t>This is the current ratio assessment rate.</t>
  </si>
  <si>
    <t>This is the debt to equity ratio assessment rate.</t>
  </si>
  <si>
    <t>Estimated Default Exposure</t>
  </si>
  <si>
    <t>Contributing Producer Agent</t>
  </si>
  <si>
    <t>non-C Producer Agent</t>
  </si>
  <si>
    <t>Factor</t>
  </si>
  <si>
    <r>
      <t xml:space="preserve">Limit / </t>
    </r>
    <r>
      <rPr>
        <sz val="8"/>
        <color indexed="61"/>
        <rFont val="Arial"/>
        <family val="2"/>
      </rPr>
      <t>Deductible</t>
    </r>
  </si>
  <si>
    <t>Reduced Assessment for Estimated Default Exposure Security</t>
  </si>
  <si>
    <t>Security to be filed under s.126.47(3)(b)</t>
  </si>
  <si>
    <t>Mulitiply assessment by this factor</t>
  </si>
  <si>
    <t>Assessment not reduced for non-Contributing Producer Agent</t>
  </si>
  <si>
    <t>Security Filed under old law? (60% deductible applies)</t>
  </si>
  <si>
    <t>Non contributor, voluntary contributor, or completely new contractor are only ones subject to estimated default exposure?</t>
  </si>
  <si>
    <t>Estimated Default Exposure [126.47(1)(b)1.]</t>
  </si>
  <si>
    <t>Do they have security on file?</t>
  </si>
  <si>
    <t>Total Annual Milk Payroll Obligations under s.126.41(6)(a)</t>
  </si>
  <si>
    <t>Largest Unpaid Payroll Obligations under s.126.41(6)(b)</t>
  </si>
  <si>
    <t>Subsequently Reported Unpaid Payroll Obligations under s.126.41(9)</t>
  </si>
  <si>
    <t>Fund Year</t>
  </si>
  <si>
    <t>60% deductible?  See 126.72</t>
  </si>
  <si>
    <t>Non-Contributing</t>
  </si>
  <si>
    <t>Minimum Assessment Amount</t>
  </si>
  <si>
    <t>Payroll</t>
  </si>
  <si>
    <t>HIDE &gt; Columns</t>
  </si>
  <si>
    <t>HIDE v Rows</t>
  </si>
  <si>
    <t>&lt; You may enter an amount less than zero in this cell.</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</si>
</sst>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0.000000"/>
    <numFmt numFmtId="166" formatCode="0.0000000"/>
    <numFmt numFmtId="167" formatCode="0.00000000_);\(0.00000000\)"/>
    <numFmt numFmtId="168" formatCode="0.00000_);\(0.00000\)"/>
    <numFmt numFmtId="169" formatCode="&quot;$&quot;#,##0.00"/>
    <numFmt numFmtId="170" formatCode="mmmm\ d\,\ yyyy"/>
    <numFmt numFmtId="171" formatCode="&quot;$&quot;#,##0"/>
    <numFmt numFmtId="172" formatCode="&quot;Yes&quot;;&quot;Yes&quot;;&quot;No&quot;"/>
    <numFmt numFmtId="173" formatCode="&quot;True&quot;;&quot;True&quot;;&quot;False&quot;"/>
    <numFmt numFmtId="174" formatCode="&quot;On&quot;;&quot;On&quot;;&quot;Off&quot;"/>
    <numFmt numFmtId="175" formatCode="[$€-2]\ #,##0.00_);[Red]\([$€-2]\ #,##0.00\)"/>
  </numFmts>
  <fonts count="69">
    <font>
      <sz val="8"/>
      <name val="Arial"/>
      <family val="0"/>
    </font>
    <font>
      <b/>
      <sz val="7"/>
      <color indexed="10"/>
      <name val="Arial"/>
      <family val="2"/>
    </font>
    <font>
      <b/>
      <sz val="12"/>
      <name val="Arial"/>
      <family val="2"/>
    </font>
    <font>
      <u val="single"/>
      <sz val="8"/>
      <name val="Arial"/>
      <family val="2"/>
    </font>
    <font>
      <b/>
      <sz val="8"/>
      <name val="Arial"/>
      <family val="2"/>
    </font>
    <font>
      <sz val="10"/>
      <name val="Arial"/>
      <family val="2"/>
    </font>
    <font>
      <b/>
      <sz val="10"/>
      <name val="Arial"/>
      <family val="2"/>
    </font>
    <font>
      <sz val="10"/>
      <color indexed="48"/>
      <name val="Arial"/>
      <family val="2"/>
    </font>
    <font>
      <sz val="10"/>
      <color indexed="10"/>
      <name val="Arial"/>
      <family val="2"/>
    </font>
    <font>
      <sz val="10"/>
      <color indexed="12"/>
      <name val="Arial"/>
      <family val="2"/>
    </font>
    <font>
      <sz val="10"/>
      <color indexed="61"/>
      <name val="Arial"/>
      <family val="2"/>
    </font>
    <font>
      <sz val="10"/>
      <color indexed="14"/>
      <name val="Arial"/>
      <family val="2"/>
    </font>
    <font>
      <b/>
      <sz val="10"/>
      <color indexed="12"/>
      <name val="Arial"/>
      <family val="2"/>
    </font>
    <font>
      <i/>
      <sz val="10"/>
      <name val="Arial"/>
      <family val="2"/>
    </font>
    <font>
      <sz val="10"/>
      <color indexed="53"/>
      <name val="Arial"/>
      <family val="2"/>
    </font>
    <font>
      <b/>
      <sz val="10"/>
      <color indexed="53"/>
      <name val="Arial"/>
      <family val="2"/>
    </font>
    <font>
      <sz val="10"/>
      <color indexed="40"/>
      <name val="Arial"/>
      <family val="2"/>
    </font>
    <font>
      <b/>
      <sz val="8"/>
      <color indexed="14"/>
      <name val="Arial"/>
      <family val="2"/>
    </font>
    <font>
      <sz val="8"/>
      <color indexed="14"/>
      <name val="Arial"/>
      <family val="2"/>
    </font>
    <font>
      <b/>
      <sz val="10"/>
      <color indexed="14"/>
      <name val="Arial"/>
      <family val="2"/>
    </font>
    <font>
      <b/>
      <sz val="10"/>
      <color indexed="10"/>
      <name val="Arial"/>
      <family val="2"/>
    </font>
    <font>
      <sz val="8"/>
      <name val="Tahoma"/>
      <family val="2"/>
    </font>
    <font>
      <b/>
      <sz val="8"/>
      <name val="Tahoma"/>
      <family val="2"/>
    </font>
    <font>
      <b/>
      <sz val="7"/>
      <color indexed="12"/>
      <name val="Arial"/>
      <family val="2"/>
    </font>
    <font>
      <b/>
      <sz val="12"/>
      <color indexed="10"/>
      <name val="Arial"/>
      <family val="2"/>
    </font>
    <font>
      <sz val="8"/>
      <color indexed="10"/>
      <name val="Arial"/>
      <family val="2"/>
    </font>
    <font>
      <b/>
      <sz val="12"/>
      <color indexed="12"/>
      <name val="Arial"/>
      <family val="2"/>
    </font>
    <font>
      <sz val="8"/>
      <color indexed="12"/>
      <name val="Arial"/>
      <family val="2"/>
    </font>
    <font>
      <sz val="8"/>
      <color indexed="61"/>
      <name val="Arial"/>
      <family val="2"/>
    </font>
    <font>
      <sz val="9"/>
      <name val="Arial"/>
      <family val="2"/>
    </font>
    <font>
      <u val="single"/>
      <sz val="9"/>
      <name val="Arial"/>
      <family val="2"/>
    </font>
    <font>
      <b/>
      <sz val="9"/>
      <name val="Arial"/>
      <family val="2"/>
    </font>
    <font>
      <b/>
      <sz val="8"/>
      <color indexed="13"/>
      <name val="Arial"/>
      <family val="2"/>
    </font>
    <font>
      <b/>
      <sz val="10"/>
      <color indexed="48"/>
      <name val="Arial"/>
      <family val="2"/>
    </font>
    <font>
      <sz val="10"/>
      <color indexed="18"/>
      <name val="Arial"/>
      <family val="2"/>
    </font>
    <font>
      <b/>
      <sz val="9"/>
      <color indexed="18"/>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62"/>
      <name val="Arial"/>
      <family val="2"/>
    </font>
    <font>
      <b/>
      <sz val="13"/>
      <color indexed="62"/>
      <name val="Arial"/>
      <family val="2"/>
    </font>
    <font>
      <b/>
      <sz val="11"/>
      <color indexed="6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62"/>
      <name val="Cambria"/>
      <family val="2"/>
    </font>
    <font>
      <b/>
      <sz val="10"/>
      <color indexed="8"/>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indexed="41"/>
        <bgColor indexed="64"/>
      </patternFill>
    </fill>
    <fill>
      <patternFill patternType="solid">
        <fgColor indexed="13"/>
        <bgColor indexed="64"/>
      </patternFill>
    </fill>
    <fill>
      <patternFill patternType="solid">
        <fgColor indexed="43"/>
        <bgColor indexed="64"/>
      </patternFill>
    </fill>
    <fill>
      <patternFill patternType="solid">
        <fgColor indexed="42"/>
        <bgColor indexed="64"/>
      </patternFill>
    </fill>
    <fill>
      <patternFill patternType="solid">
        <fgColor indexed="16"/>
        <bgColor indexed="64"/>
      </patternFill>
    </fill>
    <fill>
      <patternFill patternType="solid">
        <fgColor indexed="26"/>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double"/>
    </border>
    <border>
      <left style="hair"/>
      <right style="hair"/>
      <top style="hair"/>
      <bottom style="hair"/>
    </border>
    <border>
      <left style="thin"/>
      <right style="thin"/>
      <top style="thin"/>
      <bottom style="thin"/>
    </border>
    <border>
      <left>
        <color indexed="63"/>
      </left>
      <right>
        <color indexed="63"/>
      </right>
      <top style="hair"/>
      <bottom>
        <color indexed="63"/>
      </bottom>
    </border>
    <border>
      <left style="hair"/>
      <right>
        <color indexed="63"/>
      </right>
      <top style="hair"/>
      <bottom style="hair"/>
    </border>
    <border>
      <left style="thick"/>
      <right style="hair"/>
      <top style="hair"/>
      <bottom style="thick"/>
    </border>
    <border>
      <left style="hair"/>
      <right style="hair"/>
      <top style="hair"/>
      <bottom style="thick"/>
    </border>
    <border>
      <left style="hair"/>
      <right style="thick"/>
      <top style="hair"/>
      <bottom style="thick"/>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hair"/>
      <right style="hair"/>
      <top style="hair"/>
      <bottom>
        <color indexed="63"/>
      </bottom>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style="hair"/>
      <top style="hair"/>
      <bottom style="hair"/>
    </border>
    <border>
      <left style="hair"/>
      <right style="thick"/>
      <top style="hair"/>
      <bottom style="hair"/>
    </border>
    <border>
      <left>
        <color indexed="63"/>
      </left>
      <right>
        <color indexed="63"/>
      </right>
      <top style="hair"/>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167">
    <xf numFmtId="0" fontId="0" fillId="0" borderId="0" xfId="0" applyAlignment="1">
      <alignment/>
    </xf>
    <xf numFmtId="0" fontId="2" fillId="0" borderId="0" xfId="0" applyFont="1" applyAlignment="1" applyProtection="1">
      <alignment horizontal="center"/>
      <protection hidden="1"/>
    </xf>
    <xf numFmtId="7" fontId="0" fillId="0" borderId="0" xfId="0" applyNumberFormat="1" applyFont="1" applyAlignment="1" applyProtection="1">
      <alignment horizontal="right" vertical="top" shrinkToFit="1"/>
      <protection hidden="1"/>
    </xf>
    <xf numFmtId="0" fontId="0" fillId="0" borderId="0" xfId="0" applyFont="1" applyAlignment="1" applyProtection="1">
      <alignment horizontal="center"/>
      <protection hidden="1"/>
    </xf>
    <xf numFmtId="7" fontId="3" fillId="0" borderId="0" xfId="0" applyNumberFormat="1" applyFont="1" applyAlignment="1" applyProtection="1">
      <alignment horizontal="right" vertical="top" shrinkToFit="1"/>
      <protection hidden="1"/>
    </xf>
    <xf numFmtId="7" fontId="4" fillId="0" borderId="0" xfId="0" applyNumberFormat="1" applyFont="1" applyAlignment="1" applyProtection="1">
      <alignment horizontal="right" vertical="top" shrinkToFit="1"/>
      <protection hidden="1"/>
    </xf>
    <xf numFmtId="0" fontId="5" fillId="0" borderId="0" xfId="0" applyFont="1" applyAlignment="1" applyProtection="1">
      <alignment shrinkToFit="1"/>
      <protection hidden="1"/>
    </xf>
    <xf numFmtId="0" fontId="7" fillId="0" borderId="0" xfId="0" applyFont="1" applyAlignment="1" applyProtection="1">
      <alignment horizontal="center" shrinkToFit="1"/>
      <protection hidden="1"/>
    </xf>
    <xf numFmtId="0" fontId="6" fillId="0" borderId="0" xfId="0" applyFont="1" applyAlignment="1" applyProtection="1">
      <alignment horizontal="center" shrinkToFit="1"/>
      <protection hidden="1"/>
    </xf>
    <xf numFmtId="165" fontId="10" fillId="0" borderId="0" xfId="0" applyNumberFormat="1" applyFont="1" applyAlignment="1" applyProtection="1">
      <alignment shrinkToFit="1"/>
      <protection hidden="1"/>
    </xf>
    <xf numFmtId="165" fontId="14" fillId="0" borderId="0" xfId="0" applyNumberFormat="1" applyFont="1" applyAlignment="1" applyProtection="1">
      <alignment shrinkToFit="1"/>
      <protection hidden="1"/>
    </xf>
    <xf numFmtId="165" fontId="5" fillId="0" borderId="0" xfId="0" applyNumberFormat="1" applyFont="1" applyAlignment="1" applyProtection="1">
      <alignment shrinkToFit="1"/>
      <protection hidden="1"/>
    </xf>
    <xf numFmtId="0" fontId="5" fillId="0" borderId="0" xfId="0" applyFont="1" applyAlignment="1" applyProtection="1">
      <alignment/>
      <protection hidden="1"/>
    </xf>
    <xf numFmtId="7" fontId="5" fillId="0" borderId="0" xfId="0" applyNumberFormat="1" applyFont="1" applyAlignment="1" applyProtection="1">
      <alignment shrinkToFit="1"/>
      <protection hidden="1"/>
    </xf>
    <xf numFmtId="7" fontId="5" fillId="0" borderId="0" xfId="0" applyNumberFormat="1" applyFont="1" applyBorder="1" applyAlignment="1" applyProtection="1">
      <alignment shrinkToFit="1"/>
      <protection hidden="1"/>
    </xf>
    <xf numFmtId="7" fontId="6" fillId="0" borderId="0" xfId="0" applyNumberFormat="1" applyFont="1" applyBorder="1" applyAlignment="1" applyProtection="1">
      <alignment shrinkToFit="1"/>
      <protection hidden="1"/>
    </xf>
    <xf numFmtId="0" fontId="12" fillId="0" borderId="0" xfId="0" applyFont="1" applyAlignment="1" applyProtection="1">
      <alignment horizontal="center" shrinkToFit="1"/>
      <protection hidden="1"/>
    </xf>
    <xf numFmtId="165" fontId="16" fillId="0" borderId="0" xfId="0" applyNumberFormat="1" applyFont="1" applyAlignment="1" applyProtection="1">
      <alignment shrinkToFit="1"/>
      <protection hidden="1"/>
    </xf>
    <xf numFmtId="0" fontId="2" fillId="0" borderId="0" xfId="0" applyFont="1" applyAlignment="1" applyProtection="1">
      <alignment shrinkToFit="1"/>
      <protection hidden="1"/>
    </xf>
    <xf numFmtId="7" fontId="6" fillId="0" borderId="10" xfId="0" applyNumberFormat="1" applyFont="1" applyBorder="1" applyAlignment="1" applyProtection="1">
      <alignment shrinkToFit="1"/>
      <protection hidden="1"/>
    </xf>
    <xf numFmtId="166" fontId="12" fillId="33" borderId="11" xfId="0" applyNumberFormat="1" applyFont="1" applyFill="1" applyBorder="1" applyAlignment="1" applyProtection="1">
      <alignment horizontal="center" shrinkToFit="1"/>
      <protection locked="0"/>
    </xf>
    <xf numFmtId="0" fontId="12" fillId="33" borderId="11" xfId="0" applyFont="1" applyFill="1" applyBorder="1" applyAlignment="1" applyProtection="1">
      <alignment horizontal="center" shrinkToFit="1"/>
      <protection locked="0"/>
    </xf>
    <xf numFmtId="165" fontId="20" fillId="33" borderId="11" xfId="0" applyNumberFormat="1" applyFont="1" applyFill="1" applyBorder="1" applyAlignment="1" applyProtection="1">
      <alignment horizontal="center" shrinkToFit="1"/>
      <protection locked="0"/>
    </xf>
    <xf numFmtId="0" fontId="20" fillId="33" borderId="11" xfId="0" applyFont="1" applyFill="1" applyBorder="1" applyAlignment="1" applyProtection="1">
      <alignment horizontal="center" shrinkToFit="1"/>
      <protection locked="0"/>
    </xf>
    <xf numFmtId="169" fontId="20" fillId="34" borderId="0" xfId="44" applyNumberFormat="1" applyFont="1" applyFill="1" applyAlignment="1" applyProtection="1">
      <alignment horizontal="center" shrinkToFit="1"/>
      <protection locked="0"/>
    </xf>
    <xf numFmtId="7" fontId="15" fillId="33" borderId="12" xfId="0" applyNumberFormat="1" applyFont="1" applyFill="1" applyBorder="1" applyAlignment="1" applyProtection="1">
      <alignment shrinkToFit="1"/>
      <protection hidden="1"/>
    </xf>
    <xf numFmtId="0" fontId="13" fillId="0" borderId="0" xfId="0" applyFont="1" applyAlignment="1" applyProtection="1">
      <alignment horizontal="left" indent="1" shrinkToFit="1"/>
      <protection hidden="1"/>
    </xf>
    <xf numFmtId="0" fontId="2" fillId="0" borderId="0" xfId="0" applyFont="1" applyAlignment="1" applyProtection="1">
      <alignment horizontal="left" indent="1" shrinkToFit="1"/>
      <protection hidden="1"/>
    </xf>
    <xf numFmtId="0" fontId="0" fillId="0" borderId="0" xfId="0" applyFont="1" applyAlignment="1" applyProtection="1">
      <alignment shrinkToFit="1"/>
      <protection hidden="1"/>
    </xf>
    <xf numFmtId="0" fontId="0" fillId="0" borderId="0" xfId="0" applyAlignment="1" applyProtection="1">
      <alignment shrinkToFit="1"/>
      <protection hidden="1"/>
    </xf>
    <xf numFmtId="0" fontId="6" fillId="0" borderId="13" xfId="0" applyFont="1" applyBorder="1" applyAlignment="1" applyProtection="1">
      <alignment shrinkToFit="1"/>
      <protection hidden="1"/>
    </xf>
    <xf numFmtId="0" fontId="6" fillId="0" borderId="0" xfId="0" applyFont="1" applyAlignment="1" applyProtection="1">
      <alignment horizontal="left" vertical="center" indent="1" shrinkToFit="1"/>
      <protection hidden="1"/>
    </xf>
    <xf numFmtId="169" fontId="0" fillId="33" borderId="11" xfId="0" applyNumberFormat="1" applyFill="1" applyBorder="1" applyAlignment="1">
      <alignment shrinkToFit="1"/>
    </xf>
    <xf numFmtId="0" fontId="0" fillId="33" borderId="12" xfId="0" applyFill="1" applyBorder="1" applyAlignment="1">
      <alignment horizontal="center" shrinkToFit="1"/>
    </xf>
    <xf numFmtId="170" fontId="0" fillId="0" borderId="11" xfId="0" applyNumberFormat="1" applyBorder="1" applyAlignment="1">
      <alignment/>
    </xf>
    <xf numFmtId="169" fontId="0" fillId="0" borderId="11" xfId="0" applyNumberFormat="1" applyBorder="1" applyAlignment="1">
      <alignment/>
    </xf>
    <xf numFmtId="0" fontId="0" fillId="0" borderId="11" xfId="0" applyBorder="1" applyAlignment="1">
      <alignment/>
    </xf>
    <xf numFmtId="0" fontId="0" fillId="0" borderId="0" xfId="0" applyAlignment="1">
      <alignment shrinkToFit="1"/>
    </xf>
    <xf numFmtId="0" fontId="0" fillId="33" borderId="11" xfId="0" applyFill="1" applyBorder="1" applyAlignment="1">
      <alignment shrinkToFit="1"/>
    </xf>
    <xf numFmtId="169" fontId="4" fillId="33" borderId="11" xfId="0" applyNumberFormat="1" applyFont="1" applyFill="1" applyBorder="1" applyAlignment="1">
      <alignment shrinkToFit="1"/>
    </xf>
    <xf numFmtId="0" fontId="25" fillId="33" borderId="11" xfId="0" applyFont="1" applyFill="1" applyBorder="1" applyAlignment="1">
      <alignment horizontal="center" shrinkToFit="1"/>
    </xf>
    <xf numFmtId="0" fontId="27" fillId="33" borderId="11" xfId="0" applyFont="1" applyFill="1" applyBorder="1" applyAlignment="1">
      <alignment horizontal="center" shrinkToFit="1"/>
    </xf>
    <xf numFmtId="169" fontId="27" fillId="33" borderId="11" xfId="0" applyNumberFormat="1" applyFont="1" applyFill="1" applyBorder="1" applyAlignment="1">
      <alignment horizontal="center" shrinkToFit="1"/>
    </xf>
    <xf numFmtId="169" fontId="28" fillId="33" borderId="11" xfId="0" applyNumberFormat="1" applyFont="1" applyFill="1" applyBorder="1" applyAlignment="1">
      <alignment horizontal="center" shrinkToFit="1"/>
    </xf>
    <xf numFmtId="0" fontId="0" fillId="33" borderId="11" xfId="0" applyFont="1" applyFill="1" applyBorder="1" applyAlignment="1">
      <alignment shrinkToFit="1"/>
    </xf>
    <xf numFmtId="7" fontId="0" fillId="33" borderId="11" xfId="0" applyNumberFormat="1" applyFill="1" applyBorder="1" applyAlignment="1">
      <alignment shrinkToFit="1"/>
    </xf>
    <xf numFmtId="7" fontId="4" fillId="33" borderId="11" xfId="0" applyNumberFormat="1" applyFont="1" applyFill="1" applyBorder="1" applyAlignment="1">
      <alignment shrinkToFit="1"/>
    </xf>
    <xf numFmtId="0" fontId="4" fillId="33" borderId="11" xfId="0" applyFont="1" applyFill="1" applyBorder="1" applyAlignment="1">
      <alignment shrinkToFit="1"/>
    </xf>
    <xf numFmtId="0" fontId="4" fillId="0" borderId="11" xfId="0" applyFont="1" applyBorder="1" applyAlignment="1">
      <alignment horizontal="center" shrinkToFit="1"/>
    </xf>
    <xf numFmtId="0" fontId="0" fillId="0" borderId="14" xfId="0" applyBorder="1" applyAlignment="1">
      <alignment/>
    </xf>
    <xf numFmtId="0" fontId="0" fillId="0" borderId="11" xfId="0" applyBorder="1" applyAlignment="1">
      <alignment horizontal="center" shrinkToFit="1"/>
    </xf>
    <xf numFmtId="0" fontId="0" fillId="35" borderId="0" xfId="0" applyFill="1" applyAlignment="1">
      <alignment shrinkToFit="1"/>
    </xf>
    <xf numFmtId="0" fontId="25" fillId="36" borderId="11" xfId="0" applyFont="1" applyFill="1" applyBorder="1" applyAlignment="1">
      <alignment/>
    </xf>
    <xf numFmtId="0" fontId="25" fillId="0" borderId="0" xfId="0" applyFont="1" applyAlignment="1">
      <alignment/>
    </xf>
    <xf numFmtId="0" fontId="0" fillId="33" borderId="0" xfId="0" applyFill="1" applyAlignment="1">
      <alignment shrinkToFit="1"/>
    </xf>
    <xf numFmtId="0" fontId="0" fillId="33" borderId="0" xfId="0" applyFill="1" applyAlignment="1">
      <alignment horizontal="center" shrinkToFit="1"/>
    </xf>
    <xf numFmtId="0" fontId="0" fillId="37" borderId="11" xfId="0" applyFont="1" applyFill="1" applyBorder="1" applyAlignment="1" applyProtection="1">
      <alignment horizontal="center"/>
      <protection hidden="1"/>
    </xf>
    <xf numFmtId="0" fontId="0" fillId="37" borderId="0" xfId="0" applyFill="1" applyAlignment="1">
      <alignment shrinkToFit="1"/>
    </xf>
    <xf numFmtId="0" fontId="0" fillId="37" borderId="0" xfId="0" applyFill="1" applyAlignment="1">
      <alignment horizontal="center" shrinkToFit="1"/>
    </xf>
    <xf numFmtId="0" fontId="0" fillId="35" borderId="11" xfId="0" applyFont="1" applyFill="1" applyBorder="1" applyAlignment="1" applyProtection="1">
      <alignment horizontal="center"/>
      <protection hidden="1"/>
    </xf>
    <xf numFmtId="0" fontId="29" fillId="0" borderId="0" xfId="0" applyFont="1" applyAlignment="1" applyProtection="1">
      <alignment horizontal="right" vertical="top" shrinkToFit="1"/>
      <protection hidden="1"/>
    </xf>
    <xf numFmtId="0" fontId="0" fillId="0" borderId="0" xfId="0" applyAlignment="1" applyProtection="1">
      <alignment horizontal="left" indent="1" shrinkToFit="1"/>
      <protection hidden="1"/>
    </xf>
    <xf numFmtId="169" fontId="0" fillId="0" borderId="11" xfId="0" applyNumberFormat="1" applyFill="1" applyBorder="1" applyAlignment="1" applyProtection="1">
      <alignment shrinkToFit="1"/>
      <protection locked="0"/>
    </xf>
    <xf numFmtId="0" fontId="4" fillId="0" borderId="11" xfId="0" applyFont="1" applyBorder="1" applyAlignment="1" applyProtection="1">
      <alignment horizontal="center" shrinkToFit="1"/>
      <protection locked="0"/>
    </xf>
    <xf numFmtId="170" fontId="0" fillId="0" borderId="11" xfId="0" applyNumberFormat="1" applyBorder="1" applyAlignment="1" applyProtection="1">
      <alignment shrinkToFit="1"/>
      <protection locked="0"/>
    </xf>
    <xf numFmtId="0" fontId="4" fillId="33" borderId="0" xfId="0" applyFont="1" applyFill="1" applyBorder="1" applyAlignment="1" applyProtection="1">
      <alignment horizontal="center" shrinkToFit="1"/>
      <protection locked="0"/>
    </xf>
    <xf numFmtId="0" fontId="4" fillId="33" borderId="0" xfId="0" applyFont="1" applyFill="1" applyBorder="1" applyAlignment="1" applyProtection="1">
      <alignment horizontal="center" vertical="center" shrinkToFit="1"/>
      <protection locked="0"/>
    </xf>
    <xf numFmtId="0" fontId="0" fillId="33" borderId="0" xfId="0" applyFill="1" applyAlignment="1" applyProtection="1">
      <alignment/>
      <protection locked="0"/>
    </xf>
    <xf numFmtId="0" fontId="0" fillId="0" borderId="0" xfId="0" applyAlignment="1" applyProtection="1">
      <alignment/>
      <protection hidden="1"/>
    </xf>
    <xf numFmtId="0" fontId="0" fillId="0" borderId="11" xfId="0" applyBorder="1" applyAlignment="1" applyProtection="1">
      <alignment shrinkToFit="1"/>
      <protection hidden="1"/>
    </xf>
    <xf numFmtId="169" fontId="0" fillId="33" borderId="11" xfId="0" applyNumberFormat="1" applyFill="1" applyBorder="1" applyAlignment="1" applyProtection="1">
      <alignment shrinkToFit="1"/>
      <protection hidden="1"/>
    </xf>
    <xf numFmtId="0" fontId="32" fillId="38" borderId="0" xfId="0" applyFont="1" applyFill="1" applyAlignment="1" applyProtection="1">
      <alignment shrinkToFit="1"/>
      <protection hidden="1"/>
    </xf>
    <xf numFmtId="0" fontId="0" fillId="33" borderId="0" xfId="0" applyFill="1" applyBorder="1" applyAlignment="1" applyProtection="1">
      <alignment horizontal="left" vertical="center" wrapText="1" indent="1"/>
      <protection hidden="1"/>
    </xf>
    <xf numFmtId="0" fontId="0" fillId="33" borderId="0" xfId="0" applyFill="1" applyBorder="1" applyAlignment="1" applyProtection="1">
      <alignment horizontal="left" vertical="center" wrapText="1" indent="1" shrinkToFit="1"/>
      <protection hidden="1"/>
    </xf>
    <xf numFmtId="0" fontId="0" fillId="33" borderId="0" xfId="0" applyNumberFormat="1" applyFill="1" applyBorder="1" applyAlignment="1" applyProtection="1">
      <alignment horizontal="left" vertical="center" wrapText="1" indent="1" shrinkToFit="1"/>
      <protection hidden="1"/>
    </xf>
    <xf numFmtId="0" fontId="0" fillId="35" borderId="0" xfId="0" applyFill="1" applyAlignment="1" applyProtection="1">
      <alignment/>
      <protection hidden="1"/>
    </xf>
    <xf numFmtId="7" fontId="30" fillId="0" borderId="0" xfId="0" applyNumberFormat="1" applyFont="1" applyAlignment="1" applyProtection="1">
      <alignment horizontal="right" vertical="top" shrinkToFit="1"/>
      <protection hidden="1"/>
    </xf>
    <xf numFmtId="7" fontId="31" fillId="0" borderId="0" xfId="0" applyNumberFormat="1" applyFont="1" applyAlignment="1" applyProtection="1">
      <alignment horizontal="right" vertical="top" shrinkToFit="1"/>
      <protection hidden="1"/>
    </xf>
    <xf numFmtId="0" fontId="5" fillId="0" borderId="0" xfId="0" applyFont="1" applyFill="1" applyAlignment="1" applyProtection="1">
      <alignment/>
      <protection hidden="1"/>
    </xf>
    <xf numFmtId="0" fontId="2" fillId="0" borderId="0" xfId="0" applyFont="1" applyFill="1" applyAlignment="1" applyProtection="1">
      <alignment horizontal="center"/>
      <protection hidden="1"/>
    </xf>
    <xf numFmtId="0" fontId="0" fillId="0" borderId="0" xfId="0" applyFont="1" applyFill="1" applyAlignment="1" applyProtection="1">
      <alignment horizontal="center"/>
      <protection hidden="1"/>
    </xf>
    <xf numFmtId="0" fontId="5" fillId="0" borderId="0" xfId="0" applyFont="1" applyFill="1" applyAlignment="1" applyProtection="1">
      <alignment shrinkToFit="1"/>
      <protection hidden="1"/>
    </xf>
    <xf numFmtId="7" fontId="6" fillId="0" borderId="0" xfId="0" applyNumberFormat="1" applyFont="1" applyFill="1" applyBorder="1" applyAlignment="1" applyProtection="1">
      <alignment shrinkToFit="1"/>
      <protection hidden="1"/>
    </xf>
    <xf numFmtId="0" fontId="5" fillId="35" borderId="15" xfId="0" applyFont="1" applyFill="1" applyBorder="1" applyAlignment="1" applyProtection="1">
      <alignment/>
      <protection hidden="1"/>
    </xf>
    <xf numFmtId="171" fontId="0" fillId="0" borderId="16" xfId="0" applyNumberFormat="1" applyBorder="1" applyAlignment="1" applyProtection="1">
      <alignment shrinkToFit="1"/>
      <protection hidden="1"/>
    </xf>
    <xf numFmtId="169" fontId="0" fillId="0" borderId="16" xfId="0" applyNumberFormat="1" applyBorder="1" applyAlignment="1" applyProtection="1">
      <alignment horizontal="left" shrinkToFit="1"/>
      <protection hidden="1"/>
    </xf>
    <xf numFmtId="171" fontId="0" fillId="0" borderId="17" xfId="0" applyNumberFormat="1" applyBorder="1" applyAlignment="1" applyProtection="1">
      <alignment shrinkToFit="1"/>
      <protection hidden="1"/>
    </xf>
    <xf numFmtId="0" fontId="0" fillId="0" borderId="0" xfId="0" applyFont="1" applyAlignment="1" applyProtection="1">
      <alignment/>
      <protection hidden="1"/>
    </xf>
    <xf numFmtId="169" fontId="0" fillId="0" borderId="0" xfId="0" applyNumberFormat="1" applyAlignment="1" applyProtection="1">
      <alignment/>
      <protection hidden="1"/>
    </xf>
    <xf numFmtId="0" fontId="6" fillId="0" borderId="0" xfId="0" applyFont="1" applyAlignment="1" applyProtection="1">
      <alignment/>
      <protection hidden="1"/>
    </xf>
    <xf numFmtId="169" fontId="6" fillId="0" borderId="0" xfId="0" applyNumberFormat="1" applyFont="1" applyAlignment="1" applyProtection="1">
      <alignment/>
      <protection hidden="1"/>
    </xf>
    <xf numFmtId="0" fontId="5" fillId="33" borderId="11" xfId="0" applyFont="1" applyFill="1" applyBorder="1" applyAlignment="1" applyProtection="1">
      <alignment shrinkToFit="1"/>
      <protection hidden="1"/>
    </xf>
    <xf numFmtId="0" fontId="5" fillId="33" borderId="11" xfId="0" applyFont="1" applyFill="1" applyBorder="1" applyAlignment="1" applyProtection="1">
      <alignment horizontal="center" shrinkToFit="1"/>
      <protection hidden="1"/>
    </xf>
    <xf numFmtId="0" fontId="0" fillId="0" borderId="0" xfId="0" applyAlignment="1" applyProtection="1">
      <alignment horizontal="center"/>
      <protection hidden="1"/>
    </xf>
    <xf numFmtId="0" fontId="0" fillId="0" borderId="0" xfId="0" applyAlignment="1" applyProtection="1">
      <alignment horizontal="center" shrinkToFit="1"/>
      <protection hidden="1"/>
    </xf>
    <xf numFmtId="0" fontId="5" fillId="0" borderId="18" xfId="0" applyFont="1" applyBorder="1" applyAlignment="1" applyProtection="1">
      <alignment horizontal="center" shrinkToFit="1"/>
      <protection hidden="1"/>
    </xf>
    <xf numFmtId="0" fontId="6" fillId="0" borderId="18" xfId="0" applyFont="1" applyBorder="1" applyAlignment="1" applyProtection="1">
      <alignment horizontal="center" shrinkToFit="1"/>
      <protection hidden="1"/>
    </xf>
    <xf numFmtId="0" fontId="5" fillId="0" borderId="19" xfId="0" applyFont="1" applyBorder="1" applyAlignment="1" applyProtection="1">
      <alignment horizontal="center" shrinkToFit="1"/>
      <protection hidden="1"/>
    </xf>
    <xf numFmtId="0" fontId="5" fillId="0" borderId="20" xfId="0" applyFont="1" applyBorder="1" applyAlignment="1" applyProtection="1">
      <alignment horizontal="center" shrinkToFit="1"/>
      <protection hidden="1"/>
    </xf>
    <xf numFmtId="0" fontId="8" fillId="0" borderId="21" xfId="0" applyFont="1" applyBorder="1" applyAlignment="1" applyProtection="1">
      <alignment horizontal="right" shrinkToFit="1"/>
      <protection hidden="1"/>
    </xf>
    <xf numFmtId="0" fontId="8" fillId="0" borderId="0" xfId="0" applyFont="1" applyBorder="1" applyAlignment="1" applyProtection="1">
      <alignment horizontal="right" shrinkToFit="1"/>
      <protection hidden="1"/>
    </xf>
    <xf numFmtId="0" fontId="9" fillId="0" borderId="0" xfId="0" applyFont="1" applyBorder="1" applyAlignment="1" applyProtection="1">
      <alignment horizontal="right" shrinkToFit="1"/>
      <protection hidden="1"/>
    </xf>
    <xf numFmtId="0" fontId="9" fillId="0" borderId="22" xfId="0" applyFont="1" applyBorder="1" applyAlignment="1" applyProtection="1">
      <alignment horizontal="right" shrinkToFit="1"/>
      <protection hidden="1"/>
    </xf>
    <xf numFmtId="0" fontId="10" fillId="0" borderId="21" xfId="0" applyFont="1" applyBorder="1" applyAlignment="1" applyProtection="1">
      <alignment horizontal="right" shrinkToFit="1"/>
      <protection hidden="1"/>
    </xf>
    <xf numFmtId="0" fontId="10" fillId="0" borderId="0" xfId="0" applyFont="1" applyBorder="1" applyAlignment="1" applyProtection="1">
      <alignment horizontal="center" shrinkToFit="1"/>
      <protection hidden="1"/>
    </xf>
    <xf numFmtId="0" fontId="11" fillId="0" borderId="0" xfId="0" applyFont="1" applyBorder="1" applyAlignment="1" applyProtection="1">
      <alignment horizontal="right" shrinkToFit="1"/>
      <protection hidden="1"/>
    </xf>
    <xf numFmtId="0" fontId="11" fillId="0" borderId="22" xfId="0" applyFont="1" applyBorder="1" applyAlignment="1" applyProtection="1">
      <alignment horizontal="center" shrinkToFit="1"/>
      <protection hidden="1"/>
    </xf>
    <xf numFmtId="0" fontId="8" fillId="0" borderId="21" xfId="0" applyFont="1" applyBorder="1" applyAlignment="1" applyProtection="1">
      <alignment shrinkToFit="1"/>
      <protection hidden="1"/>
    </xf>
    <xf numFmtId="165" fontId="8" fillId="0" borderId="0" xfId="0" applyNumberFormat="1" applyFont="1" applyBorder="1" applyAlignment="1" applyProtection="1">
      <alignment shrinkToFit="1"/>
      <protection hidden="1"/>
    </xf>
    <xf numFmtId="0" fontId="9" fillId="0" borderId="0" xfId="0" applyFont="1" applyBorder="1" applyAlignment="1" applyProtection="1">
      <alignment shrinkToFit="1"/>
      <protection hidden="1"/>
    </xf>
    <xf numFmtId="165" fontId="9" fillId="0" borderId="22" xfId="0" applyNumberFormat="1" applyFont="1" applyBorder="1" applyAlignment="1" applyProtection="1">
      <alignment shrinkToFit="1"/>
      <protection hidden="1"/>
    </xf>
    <xf numFmtId="0" fontId="10" fillId="0" borderId="21" xfId="0" applyFont="1" applyBorder="1" applyAlignment="1" applyProtection="1">
      <alignment shrinkToFit="1"/>
      <protection hidden="1"/>
    </xf>
    <xf numFmtId="165" fontId="10" fillId="0" borderId="0" xfId="0" applyNumberFormat="1" applyFont="1" applyBorder="1" applyAlignment="1" applyProtection="1">
      <alignment shrinkToFit="1"/>
      <protection hidden="1"/>
    </xf>
    <xf numFmtId="0" fontId="11" fillId="0" borderId="0" xfId="0" applyFont="1" applyBorder="1" applyAlignment="1" applyProtection="1">
      <alignment shrinkToFit="1"/>
      <protection hidden="1"/>
    </xf>
    <xf numFmtId="165" fontId="11" fillId="0" borderId="22" xfId="0" applyNumberFormat="1" applyFont="1" applyBorder="1" applyAlignment="1" applyProtection="1">
      <alignment shrinkToFit="1"/>
      <protection hidden="1"/>
    </xf>
    <xf numFmtId="0" fontId="8" fillId="0" borderId="23" xfId="0" applyFont="1" applyBorder="1" applyAlignment="1" applyProtection="1">
      <alignment shrinkToFit="1"/>
      <protection hidden="1"/>
    </xf>
    <xf numFmtId="165" fontId="8" fillId="0" borderId="24" xfId="0" applyNumberFormat="1" applyFont="1" applyBorder="1" applyAlignment="1" applyProtection="1">
      <alignment shrinkToFit="1"/>
      <protection hidden="1"/>
    </xf>
    <xf numFmtId="0" fontId="9" fillId="0" borderId="24" xfId="0" applyFont="1" applyBorder="1" applyAlignment="1" applyProtection="1">
      <alignment shrinkToFit="1"/>
      <protection hidden="1"/>
    </xf>
    <xf numFmtId="165" fontId="9" fillId="0" borderId="25" xfId="0" applyNumberFormat="1" applyFont="1" applyBorder="1" applyAlignment="1" applyProtection="1">
      <alignment shrinkToFit="1"/>
      <protection hidden="1"/>
    </xf>
    <xf numFmtId="0" fontId="10" fillId="0" borderId="23" xfId="0" applyFont="1" applyBorder="1" applyAlignment="1" applyProtection="1">
      <alignment shrinkToFit="1"/>
      <protection hidden="1"/>
    </xf>
    <xf numFmtId="165" fontId="10" fillId="0" borderId="24" xfId="0" applyNumberFormat="1" applyFont="1" applyBorder="1" applyAlignment="1" applyProtection="1">
      <alignment shrinkToFit="1"/>
      <protection hidden="1"/>
    </xf>
    <xf numFmtId="0" fontId="11" fillId="0" borderId="24" xfId="0" applyFont="1" applyBorder="1" applyAlignment="1" applyProtection="1">
      <alignment shrinkToFit="1"/>
      <protection hidden="1"/>
    </xf>
    <xf numFmtId="165" fontId="11" fillId="0" borderId="25" xfId="0" applyNumberFormat="1" applyFont="1" applyBorder="1" applyAlignment="1" applyProtection="1">
      <alignment shrinkToFit="1"/>
      <protection hidden="1"/>
    </xf>
    <xf numFmtId="166" fontId="0" fillId="0" borderId="0" xfId="0" applyNumberFormat="1" applyFont="1" applyAlignment="1" applyProtection="1">
      <alignment shrinkToFit="1"/>
      <protection hidden="1"/>
    </xf>
    <xf numFmtId="167" fontId="0" fillId="0" borderId="0" xfId="0" applyNumberFormat="1" applyFont="1" applyAlignment="1" applyProtection="1">
      <alignment shrinkToFit="1"/>
      <protection hidden="1"/>
    </xf>
    <xf numFmtId="167" fontId="0" fillId="0" borderId="0" xfId="0" applyNumberFormat="1" applyAlignment="1" applyProtection="1">
      <alignment shrinkToFit="1"/>
      <protection hidden="1"/>
    </xf>
    <xf numFmtId="166" fontId="4" fillId="0" borderId="0" xfId="0" applyNumberFormat="1" applyFont="1" applyAlignment="1" applyProtection="1">
      <alignment shrinkToFit="1"/>
      <protection hidden="1"/>
    </xf>
    <xf numFmtId="0" fontId="0" fillId="0" borderId="0" xfId="0" applyNumberFormat="1" applyFont="1" applyAlignment="1" applyProtection="1">
      <alignment shrinkToFit="1"/>
      <protection hidden="1"/>
    </xf>
    <xf numFmtId="0" fontId="0" fillId="0" borderId="0" xfId="0" applyNumberFormat="1" applyAlignment="1" applyProtection="1">
      <alignment shrinkToFit="1"/>
      <protection hidden="1"/>
    </xf>
    <xf numFmtId="166" fontId="17" fillId="0" borderId="0" xfId="0" applyNumberFormat="1" applyFont="1" applyAlignment="1" applyProtection="1">
      <alignment shrinkToFit="1"/>
      <protection hidden="1"/>
    </xf>
    <xf numFmtId="0" fontId="18" fillId="0" borderId="0" xfId="0" applyFont="1" applyAlignment="1" applyProtection="1">
      <alignment shrinkToFit="1"/>
      <protection hidden="1"/>
    </xf>
    <xf numFmtId="0" fontId="19" fillId="0" borderId="11" xfId="0" applyFont="1" applyBorder="1" applyAlignment="1" applyProtection="1">
      <alignment horizontal="center"/>
      <protection hidden="1"/>
    </xf>
    <xf numFmtId="0" fontId="0" fillId="34" borderId="11" xfId="0" applyFill="1" applyBorder="1" applyAlignment="1" applyProtection="1">
      <alignment/>
      <protection hidden="1"/>
    </xf>
    <xf numFmtId="165" fontId="0" fillId="34" borderId="11" xfId="0" applyNumberFormat="1" applyFill="1" applyBorder="1" applyAlignment="1" applyProtection="1">
      <alignment/>
      <protection hidden="1"/>
    </xf>
    <xf numFmtId="0" fontId="5" fillId="33" borderId="26" xfId="0" applyFont="1" applyFill="1" applyBorder="1" applyAlignment="1" applyProtection="1">
      <alignment/>
      <protection hidden="1"/>
    </xf>
    <xf numFmtId="0" fontId="4" fillId="0" borderId="0" xfId="0" applyFont="1" applyAlignment="1" applyProtection="1">
      <alignment/>
      <protection hidden="1"/>
    </xf>
    <xf numFmtId="0" fontId="5" fillId="0" borderId="27" xfId="0" applyFont="1" applyBorder="1" applyAlignment="1" applyProtection="1">
      <alignment/>
      <protection hidden="1"/>
    </xf>
    <xf numFmtId="0" fontId="0" fillId="0" borderId="28" xfId="0" applyBorder="1" applyAlignment="1" applyProtection="1">
      <alignment horizontal="center" shrinkToFit="1"/>
      <protection hidden="1"/>
    </xf>
    <xf numFmtId="0" fontId="0" fillId="0" borderId="28" xfId="0" applyBorder="1" applyAlignment="1" applyProtection="1">
      <alignment shrinkToFit="1"/>
      <protection hidden="1"/>
    </xf>
    <xf numFmtId="0" fontId="0" fillId="0" borderId="29" xfId="0" applyBorder="1" applyAlignment="1" applyProtection="1">
      <alignment/>
      <protection hidden="1"/>
    </xf>
    <xf numFmtId="0" fontId="5" fillId="0" borderId="30" xfId="0" applyFont="1" applyBorder="1" applyAlignment="1" applyProtection="1">
      <alignment/>
      <protection hidden="1"/>
    </xf>
    <xf numFmtId="3" fontId="0" fillId="0" borderId="0" xfId="0" applyNumberFormat="1" applyBorder="1" applyAlignment="1" applyProtection="1">
      <alignment shrinkToFit="1"/>
      <protection hidden="1"/>
    </xf>
    <xf numFmtId="0" fontId="0" fillId="0" borderId="0" xfId="0" applyBorder="1" applyAlignment="1" applyProtection="1">
      <alignment shrinkToFit="1"/>
      <protection hidden="1"/>
    </xf>
    <xf numFmtId="0" fontId="0" fillId="0" borderId="31" xfId="0" applyBorder="1" applyAlignment="1" applyProtection="1">
      <alignment/>
      <protection hidden="1"/>
    </xf>
    <xf numFmtId="0" fontId="5" fillId="35" borderId="32" xfId="0" applyFont="1" applyFill="1" applyBorder="1" applyAlignment="1" applyProtection="1">
      <alignment shrinkToFit="1"/>
      <protection hidden="1"/>
    </xf>
    <xf numFmtId="171" fontId="0" fillId="0" borderId="11" xfId="0" applyNumberFormat="1" applyBorder="1" applyAlignment="1" applyProtection="1">
      <alignment shrinkToFit="1"/>
      <protection hidden="1"/>
    </xf>
    <xf numFmtId="169" fontId="0" fillId="0" borderId="11" xfId="0" applyNumberFormat="1" applyBorder="1" applyAlignment="1" applyProtection="1">
      <alignment horizontal="left" shrinkToFit="1"/>
      <protection hidden="1"/>
    </xf>
    <xf numFmtId="171" fontId="0" fillId="0" borderId="33" xfId="0" applyNumberFormat="1" applyBorder="1" applyAlignment="1" applyProtection="1">
      <alignment shrinkToFit="1"/>
      <protection hidden="1"/>
    </xf>
    <xf numFmtId="169" fontId="5" fillId="35" borderId="32" xfId="0" applyNumberFormat="1" applyFont="1" applyFill="1" applyBorder="1" applyAlignment="1" applyProtection="1">
      <alignment horizontal="center"/>
      <protection hidden="1"/>
    </xf>
    <xf numFmtId="0" fontId="5" fillId="0" borderId="0" xfId="0" applyFont="1" applyAlignment="1" applyProtection="1">
      <alignment horizontal="left" vertical="center" indent="1" shrinkToFit="1"/>
      <protection hidden="1"/>
    </xf>
    <xf numFmtId="7" fontId="29" fillId="0" borderId="0" xfId="0" applyNumberFormat="1" applyFont="1" applyAlignment="1" applyProtection="1">
      <alignment horizontal="right" shrinkToFit="1"/>
      <protection hidden="1"/>
    </xf>
    <xf numFmtId="4" fontId="29" fillId="0" borderId="0" xfId="0" applyNumberFormat="1" applyFont="1" applyBorder="1" applyAlignment="1" applyProtection="1">
      <alignment horizontal="left" indent="1" shrinkToFit="1"/>
      <protection hidden="1"/>
    </xf>
    <xf numFmtId="4" fontId="14" fillId="33" borderId="12" xfId="0" applyNumberFormat="1" applyFont="1" applyFill="1" applyBorder="1" applyAlignment="1" applyProtection="1">
      <alignment horizontal="left" indent="1" shrinkToFit="1"/>
      <protection hidden="1"/>
    </xf>
    <xf numFmtId="4" fontId="7" fillId="33" borderId="12" xfId="0" applyNumberFormat="1" applyFont="1" applyFill="1" applyBorder="1" applyAlignment="1" applyProtection="1">
      <alignment horizontal="left" indent="1" shrinkToFit="1"/>
      <protection hidden="1"/>
    </xf>
    <xf numFmtId="7" fontId="33" fillId="33" borderId="12" xfId="0" applyNumberFormat="1" applyFont="1" applyFill="1" applyBorder="1" applyAlignment="1" applyProtection="1">
      <alignment shrinkToFit="1"/>
      <protection hidden="1"/>
    </xf>
    <xf numFmtId="7" fontId="34" fillId="0" borderId="0" xfId="0" applyNumberFormat="1" applyFont="1" applyBorder="1" applyAlignment="1" applyProtection="1">
      <alignment shrinkToFit="1"/>
      <protection hidden="1"/>
    </xf>
    <xf numFmtId="4" fontId="35" fillId="0" borderId="0" xfId="0" applyNumberFormat="1" applyFont="1" applyBorder="1" applyAlignment="1" applyProtection="1">
      <alignment horizontal="left" indent="1" shrinkToFit="1"/>
      <protection hidden="1"/>
    </xf>
    <xf numFmtId="0" fontId="20" fillId="36" borderId="0" xfId="0" applyFont="1" applyFill="1" applyAlignment="1" applyProtection="1">
      <alignment horizontal="center"/>
      <protection hidden="1"/>
    </xf>
    <xf numFmtId="0" fontId="20" fillId="36" borderId="0" xfId="0" applyFont="1" applyFill="1" applyAlignment="1" applyProtection="1">
      <alignment shrinkToFit="1"/>
      <protection hidden="1"/>
    </xf>
    <xf numFmtId="7" fontId="3" fillId="33" borderId="11" xfId="0" applyNumberFormat="1" applyFont="1" applyFill="1" applyBorder="1" applyAlignment="1" applyProtection="1">
      <alignment horizontal="right" vertical="top" shrinkToFit="1"/>
      <protection locked="0"/>
    </xf>
    <xf numFmtId="7" fontId="4" fillId="33" borderId="11" xfId="0" applyNumberFormat="1" applyFont="1" applyFill="1" applyBorder="1" applyAlignment="1" applyProtection="1">
      <alignment horizontal="right" vertical="top" shrinkToFit="1"/>
      <protection hidden="1"/>
    </xf>
    <xf numFmtId="0" fontId="0" fillId="0" borderId="34" xfId="0" applyBorder="1" applyAlignment="1" applyProtection="1">
      <alignment horizontal="left" indent="2" shrinkToFit="1"/>
      <protection hidden="1"/>
    </xf>
    <xf numFmtId="0" fontId="24" fillId="35" borderId="0" xfId="0" applyFont="1" applyFill="1" applyAlignment="1" applyProtection="1">
      <alignment horizontal="left" indent="1" shrinkToFit="1"/>
      <protection hidden="1"/>
    </xf>
    <xf numFmtId="0" fontId="0" fillId="0" borderId="0" xfId="0" applyAlignment="1" applyProtection="1">
      <alignment horizontal="left" indent="1" shrinkToFit="1"/>
      <protection hidden="1"/>
    </xf>
    <xf numFmtId="0" fontId="26" fillId="39" borderId="0" xfId="0" applyFont="1" applyFill="1" applyAlignment="1" applyProtection="1">
      <alignment horizontal="left" vertical="center" indent="1" shrinkToFit="1"/>
      <protection locked="0"/>
    </xf>
    <xf numFmtId="0" fontId="6" fillId="0" borderId="0" xfId="0" applyFont="1" applyAlignment="1" applyProtection="1">
      <alignment vertical="top" wrapText="1" shrinkToFit="1"/>
      <protection hidden="1"/>
    </xf>
    <xf numFmtId="0" fontId="0" fillId="0" borderId="0" xfId="0" applyAlignment="1" applyProtection="1">
      <alignment vertical="top" wrapText="1" shrinkToFit="1"/>
      <protection hidden="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60">
    <dxf>
      <font>
        <b/>
        <i val="0"/>
        <color indexed="18"/>
      </font>
      <fill>
        <patternFill>
          <bgColor indexed="47"/>
        </patternFill>
      </fill>
    </dxf>
    <dxf>
      <font>
        <b val="0"/>
        <i val="0"/>
        <color indexed="18"/>
      </font>
      <fill>
        <patternFill>
          <bgColor indexed="47"/>
        </patternFill>
      </fill>
      <border>
        <left style="thin"/>
        <right style="thin"/>
        <top style="thin"/>
        <bottom style="thin"/>
      </border>
    </dxf>
    <dxf>
      <font>
        <b/>
        <i val="0"/>
        <color indexed="18"/>
      </font>
      <fill>
        <patternFill>
          <bgColor indexed="47"/>
        </patternFill>
      </fill>
      <border>
        <left style="hair"/>
        <right style="hair"/>
        <top style="hair"/>
        <bottom style="hair"/>
      </border>
    </dxf>
    <dxf>
      <font>
        <b/>
        <i val="0"/>
        <color indexed="18"/>
      </font>
      <fill>
        <patternFill>
          <bgColor indexed="47"/>
        </patternFill>
      </fill>
      <border>
        <left style="thin"/>
        <right style="thin"/>
        <top style="thin"/>
        <bottom style="thin"/>
      </border>
    </dxf>
    <dxf>
      <font>
        <b val="0"/>
        <i val="0"/>
        <color indexed="18"/>
      </font>
      <fill>
        <patternFill>
          <bgColor indexed="47"/>
        </patternFill>
      </fill>
      <border>
        <left style="thin"/>
        <right style="thin"/>
        <top style="thin"/>
        <bottom style="thin"/>
      </border>
    </dxf>
    <dxf>
      <font>
        <b/>
        <i val="0"/>
        <color indexed="48"/>
      </font>
      <fill>
        <patternFill>
          <bgColor indexed="47"/>
        </patternFill>
      </fill>
      <border>
        <left style="hair"/>
        <right style="hair"/>
        <top style="hair"/>
        <bottom style="hair"/>
      </border>
    </dxf>
    <dxf>
      <font>
        <b val="0"/>
        <i val="0"/>
        <color indexed="60"/>
      </font>
      <fill>
        <patternFill>
          <bgColor indexed="47"/>
        </patternFill>
      </fill>
      <border>
        <left style="thin"/>
        <right style="thin"/>
        <top style="thin"/>
        <bottom style="thin"/>
      </border>
    </dxf>
    <dxf>
      <font>
        <b val="0"/>
        <i val="0"/>
        <color indexed="60"/>
      </font>
      <fill>
        <patternFill>
          <bgColor indexed="47"/>
        </patternFill>
      </fill>
      <border>
        <left style="thin"/>
        <right style="thin"/>
        <top style="thin"/>
        <bottom style="thin"/>
      </border>
    </dxf>
    <dxf>
      <font>
        <b/>
        <i val="0"/>
        <color indexed="60"/>
      </font>
      <fill>
        <patternFill>
          <bgColor indexed="47"/>
        </patternFill>
      </fill>
      <border>
        <left style="thin"/>
        <right style="thin"/>
        <top style="thin"/>
        <bottom style="thin"/>
      </border>
    </dxf>
    <dxf>
      <font>
        <b/>
        <i val="0"/>
        <color indexed="9"/>
      </font>
      <fill>
        <patternFill>
          <bgColor indexed="8"/>
        </patternFill>
      </fill>
    </dxf>
    <dxf>
      <font>
        <b/>
        <i val="0"/>
        <color indexed="15"/>
      </font>
      <fill>
        <patternFill>
          <bgColor indexed="60"/>
        </patternFill>
      </fill>
    </dxf>
    <dxf>
      <font>
        <b/>
        <i val="0"/>
        <color indexed="9"/>
      </font>
      <fill>
        <patternFill>
          <bgColor indexed="8"/>
        </patternFill>
      </fill>
    </dxf>
    <dxf>
      <font>
        <b/>
        <i val="0"/>
        <color indexed="9"/>
      </font>
      <fill>
        <patternFill>
          <bgColor indexed="8"/>
        </patternFill>
      </fill>
    </dxf>
    <dxf>
      <font>
        <b/>
        <i val="0"/>
        <color indexed="9"/>
      </font>
      <fill>
        <patternFill>
          <bgColor indexed="8"/>
        </patternFill>
      </fill>
    </dxf>
    <dxf>
      <font>
        <b/>
        <i val="0"/>
        <color indexed="9"/>
      </font>
      <fill>
        <patternFill>
          <bgColor indexed="8"/>
        </patternFill>
      </fill>
    </dxf>
    <dxf>
      <font>
        <color auto="1"/>
      </font>
      <fill>
        <patternFill>
          <bgColor indexed="47"/>
        </patternFill>
      </fill>
      <border>
        <left style="hair"/>
        <right style="hair"/>
        <top style="hair"/>
        <bottom style="hair"/>
      </border>
    </dxf>
    <dxf>
      <font>
        <b/>
        <i val="0"/>
        <color indexed="53"/>
      </font>
      <fill>
        <patternFill>
          <bgColor indexed="47"/>
        </patternFill>
      </fill>
      <border>
        <left style="hair"/>
        <right style="hair"/>
        <top style="hair"/>
        <bottom style="hair"/>
      </border>
    </dxf>
    <dxf>
      <font>
        <b/>
        <i val="0"/>
        <color indexed="60"/>
      </font>
      <fill>
        <patternFill>
          <bgColor indexed="47"/>
        </patternFill>
      </fill>
      <border>
        <left style="hair"/>
        <right style="hair"/>
        <top style="hair"/>
        <bottom style="hair"/>
      </border>
    </dxf>
    <dxf>
      <font>
        <color auto="1"/>
      </font>
      <border>
        <left/>
        <right/>
        <top/>
        <bottom/>
      </border>
    </dxf>
    <dxf>
      <font>
        <color indexed="9"/>
      </font>
    </dxf>
    <dxf>
      <font>
        <b/>
        <i val="0"/>
        <color indexed="60"/>
      </font>
      <fill>
        <patternFill>
          <bgColor indexed="47"/>
        </patternFill>
      </fill>
    </dxf>
    <dxf>
      <fill>
        <patternFill patternType="none">
          <bgColor indexed="65"/>
        </patternFill>
      </fill>
      <border>
        <left/>
        <right/>
        <top/>
        <bottom/>
      </border>
    </dxf>
    <dxf>
      <font>
        <b/>
        <i val="0"/>
        <color indexed="13"/>
      </font>
      <fill>
        <patternFill>
          <bgColor indexed="16"/>
        </patternFill>
      </fill>
    </dxf>
    <dxf>
      <fill>
        <patternFill patternType="none">
          <bgColor indexed="65"/>
        </patternFill>
      </fill>
    </dxf>
    <dxf>
      <font>
        <b/>
        <i val="0"/>
        <color indexed="10"/>
      </font>
    </dxf>
    <dxf>
      <font>
        <b/>
        <i val="0"/>
        <color indexed="18"/>
      </font>
      <fill>
        <patternFill>
          <bgColor indexed="29"/>
        </patternFill>
      </fill>
    </dxf>
    <dxf>
      <font>
        <b/>
        <i val="0"/>
        <color indexed="13"/>
      </font>
      <fill>
        <patternFill>
          <bgColor indexed="18"/>
        </patternFill>
      </fill>
    </dxf>
    <dxf>
      <font>
        <b/>
        <i val="0"/>
        <color indexed="61"/>
      </font>
      <fill>
        <patternFill>
          <bgColor indexed="41"/>
        </patternFill>
      </fill>
    </dxf>
    <dxf>
      <font>
        <b/>
        <i val="0"/>
        <color indexed="9"/>
      </font>
      <fill>
        <patternFill>
          <bgColor indexed="61"/>
        </patternFill>
      </fill>
    </dxf>
    <dxf>
      <font>
        <b/>
        <i val="0"/>
        <color indexed="9"/>
      </font>
      <fill>
        <patternFill>
          <bgColor indexed="61"/>
        </patternFill>
      </fill>
    </dxf>
    <dxf>
      <border>
        <left style="hair"/>
        <right style="hair"/>
        <top style="hair"/>
        <bottom style="hair"/>
      </border>
    </dxf>
    <dxf>
      <font>
        <b/>
        <i val="0"/>
        <color indexed="12"/>
      </font>
    </dxf>
    <dxf>
      <font>
        <b/>
        <i val="0"/>
        <color indexed="10"/>
      </font>
    </dxf>
    <dxf>
      <font>
        <b/>
        <i val="0"/>
        <color indexed="10"/>
      </font>
    </dxf>
    <dxf>
      <font>
        <b/>
        <i val="0"/>
        <color indexed="10"/>
      </font>
    </dxf>
    <dxf>
      <font>
        <b/>
        <i val="0"/>
        <color indexed="10"/>
      </font>
    </dxf>
    <dxf>
      <font>
        <b/>
        <i val="0"/>
        <color indexed="10"/>
      </font>
    </dxf>
    <dxf>
      <font>
        <b/>
        <i val="0"/>
        <color rgb="FFFF0000"/>
      </font>
      <border/>
    </dxf>
    <dxf>
      <font>
        <b/>
        <i val="0"/>
        <color rgb="FF0000FF"/>
      </font>
      <border/>
    </dxf>
    <dxf>
      <border>
        <left style="hair">
          <color rgb="FF000000"/>
        </left>
        <right style="hair">
          <color rgb="FF000000"/>
        </right>
        <top style="hair"/>
        <bottom style="hair">
          <color rgb="FF000000"/>
        </bottom>
      </border>
    </dxf>
    <dxf>
      <font>
        <b/>
        <i val="0"/>
        <color rgb="FFFFFFFF"/>
      </font>
      <fill>
        <patternFill>
          <bgColor rgb="FF993366"/>
        </patternFill>
      </fill>
      <border/>
    </dxf>
    <dxf>
      <font>
        <b/>
        <i val="0"/>
        <color rgb="FF993366"/>
      </font>
      <fill>
        <patternFill>
          <bgColor rgb="FFCCFFFF"/>
        </patternFill>
      </fill>
      <border/>
    </dxf>
    <dxf>
      <font>
        <b/>
        <i val="0"/>
        <color rgb="FFFFFF00"/>
      </font>
      <fill>
        <patternFill>
          <bgColor rgb="FF000080"/>
        </patternFill>
      </fill>
      <border/>
    </dxf>
    <dxf>
      <font>
        <b/>
        <i val="0"/>
        <color rgb="FF000080"/>
      </font>
      <fill>
        <patternFill>
          <bgColor rgb="FFFF8080"/>
        </patternFill>
      </fill>
      <border/>
    </dxf>
    <dxf>
      <font>
        <b/>
        <i val="0"/>
        <color rgb="FFFFFF00"/>
      </font>
      <fill>
        <patternFill>
          <bgColor rgb="FF800000"/>
        </patternFill>
      </fill>
      <border/>
    </dxf>
    <dxf>
      <font>
        <b/>
        <i val="0"/>
        <color rgb="FF993300"/>
      </font>
      <fill>
        <patternFill>
          <bgColor rgb="FFEAEAEA"/>
        </patternFill>
      </fill>
      <border/>
    </dxf>
    <dxf>
      <font>
        <color rgb="FFFFFFFF"/>
      </font>
      <border/>
    </dxf>
    <dxf>
      <font>
        <color auto="1"/>
      </font>
      <border>
        <left>
          <color rgb="FF000000"/>
        </left>
        <right>
          <color rgb="FF000000"/>
        </right>
        <top>
          <color rgb="FF000000"/>
        </top>
        <bottom>
          <color rgb="FF000000"/>
        </bottom>
      </border>
    </dxf>
    <dxf>
      <font>
        <b/>
        <i val="0"/>
        <color rgb="FF993300"/>
      </font>
      <fill>
        <patternFill>
          <bgColor rgb="FFEAEAEA"/>
        </patternFill>
      </fill>
      <border>
        <left style="hair">
          <color rgb="FF000000"/>
        </left>
        <right style="hair">
          <color rgb="FF000000"/>
        </right>
        <top style="hair"/>
        <bottom style="hair">
          <color rgb="FF000000"/>
        </bottom>
      </border>
    </dxf>
    <dxf>
      <font>
        <b/>
        <i val="0"/>
        <color rgb="FFFF6600"/>
      </font>
      <fill>
        <patternFill>
          <bgColor rgb="FFEAEAEA"/>
        </patternFill>
      </fill>
      <border>
        <left style="hair">
          <color rgb="FF000000"/>
        </left>
        <right style="hair">
          <color rgb="FF000000"/>
        </right>
        <top style="hair"/>
        <bottom style="hair">
          <color rgb="FF000000"/>
        </bottom>
      </border>
    </dxf>
    <dxf>
      <font>
        <color auto="1"/>
      </font>
      <fill>
        <patternFill>
          <bgColor rgb="FFEAEAEA"/>
        </patternFill>
      </fill>
      <border>
        <left style="hair">
          <color rgb="FF000000"/>
        </left>
        <right style="hair">
          <color rgb="FF000000"/>
        </right>
        <top style="hair"/>
        <bottom style="hair">
          <color rgb="FF000000"/>
        </bottom>
      </border>
    </dxf>
    <dxf>
      <font>
        <b/>
        <i val="0"/>
        <color rgb="FFFFFFFF"/>
      </font>
      <fill>
        <patternFill>
          <bgColor rgb="FF000000"/>
        </patternFill>
      </fill>
      <border/>
    </dxf>
    <dxf>
      <font>
        <b/>
        <i val="0"/>
        <color rgb="FF00FFFF"/>
      </font>
      <fill>
        <patternFill>
          <bgColor rgb="FF993300"/>
        </patternFill>
      </fill>
      <border/>
    </dxf>
    <dxf>
      <font>
        <b/>
        <i val="0"/>
        <color rgb="FF993300"/>
      </font>
      <fill>
        <patternFill>
          <bgColor rgb="FFEAEAEA"/>
        </patternFill>
      </fill>
      <border>
        <left style="thin">
          <color rgb="FF000000"/>
        </left>
        <right style="thin">
          <color rgb="FF000000"/>
        </right>
        <top style="thin"/>
        <bottom style="thin">
          <color rgb="FF000000"/>
        </bottom>
      </border>
    </dxf>
    <dxf>
      <font>
        <b val="0"/>
        <i val="0"/>
        <color rgb="FF993300"/>
      </font>
      <fill>
        <patternFill>
          <bgColor rgb="FFEAEAEA"/>
        </patternFill>
      </fill>
      <border>
        <left style="thin">
          <color rgb="FF000000"/>
        </left>
        <right style="thin">
          <color rgb="FF000000"/>
        </right>
        <top style="thin"/>
        <bottom style="thin">
          <color rgb="FF000000"/>
        </bottom>
      </border>
    </dxf>
    <dxf>
      <font>
        <b/>
        <i val="0"/>
        <color rgb="FF3366FF"/>
      </font>
      <fill>
        <patternFill>
          <bgColor rgb="FFEAEAEA"/>
        </patternFill>
      </fill>
      <border>
        <left style="hair">
          <color rgb="FF000000"/>
        </left>
        <right style="hair">
          <color rgb="FF000000"/>
        </right>
        <top style="hair"/>
        <bottom style="hair">
          <color rgb="FF000000"/>
        </bottom>
      </border>
    </dxf>
    <dxf>
      <font>
        <b val="0"/>
        <i val="0"/>
        <color rgb="FF000080"/>
      </font>
      <fill>
        <patternFill>
          <bgColor rgb="FFEAEAEA"/>
        </patternFill>
      </fill>
      <border>
        <left style="thin">
          <color rgb="FF000000"/>
        </left>
        <right style="thin">
          <color rgb="FF000000"/>
        </right>
        <top style="thin"/>
        <bottom style="thin">
          <color rgb="FF000000"/>
        </bottom>
      </border>
    </dxf>
    <dxf>
      <font>
        <b/>
        <i val="0"/>
        <color rgb="FF000080"/>
      </font>
      <fill>
        <patternFill>
          <bgColor rgb="FFEAEAEA"/>
        </patternFill>
      </fill>
      <border>
        <left style="thin">
          <color rgb="FF000000"/>
        </left>
        <right style="thin">
          <color rgb="FF000000"/>
        </right>
        <top style="thin"/>
        <bottom style="thin">
          <color rgb="FF000000"/>
        </bottom>
      </border>
    </dxf>
    <dxf>
      <font>
        <b/>
        <i val="0"/>
        <color rgb="FF000080"/>
      </font>
      <fill>
        <patternFill>
          <bgColor rgb="FFEAEAEA"/>
        </patternFill>
      </fill>
      <border>
        <left style="hair">
          <color rgb="FF000000"/>
        </left>
        <right style="hair">
          <color rgb="FF000000"/>
        </right>
        <top style="hair"/>
        <bottom style="hair">
          <color rgb="FF000000"/>
        </bottom>
      </border>
    </dxf>
    <dxf>
      <font>
        <b/>
        <i val="0"/>
        <color rgb="FF000080"/>
      </font>
      <fill>
        <patternFill>
          <bgColor rgb="FFEAEAEA"/>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AEAEA"/>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
  <dimension ref="A1:S29"/>
  <sheetViews>
    <sheetView showGridLines="0" zoomScalePageLayoutView="0" workbookViewId="0" topLeftCell="A1">
      <selection activeCell="D1" sqref="D1"/>
    </sheetView>
  </sheetViews>
  <sheetFormatPr defaultColWidth="9.33203125" defaultRowHeight="11.25"/>
  <cols>
    <col min="1" max="1" width="56.16015625" style="0" customWidth="1"/>
    <col min="2" max="2" width="13.66015625" style="0" bestFit="1" customWidth="1"/>
    <col min="3" max="3" width="51.5" style="0" bestFit="1" customWidth="1"/>
    <col min="5" max="5" width="18.33203125" style="0" bestFit="1" customWidth="1"/>
    <col min="8" max="8" width="2.16015625" style="0" customWidth="1"/>
    <col min="9" max="9" width="51.66015625" style="0" customWidth="1"/>
    <col min="10" max="10" width="14.66015625" style="0" customWidth="1"/>
    <col min="12" max="12" width="14.5" style="0" customWidth="1"/>
    <col min="14" max="14" width="11" style="0" customWidth="1"/>
    <col min="15" max="15" width="23.16015625" style="0" customWidth="1"/>
    <col min="16" max="16" width="19.16015625" style="0" customWidth="1"/>
    <col min="17" max="17" width="23.83203125" style="0" customWidth="1"/>
    <col min="18" max="18" width="9.66015625" style="0" customWidth="1"/>
  </cols>
  <sheetData>
    <row r="1" spans="1:12" ht="12.75">
      <c r="A1" s="68">
        <f>IF(J1=1,I1&amp;" - Security is NOT Required",IF('Milk Contractor Assessment'!I44="","","Security May be Required for: "&amp;IF(AND(H4=1,H5=1),I4&amp;" or "&amp;I5,IF(H4=1,I4,I5))))</f>
      </c>
      <c r="B1" s="68"/>
      <c r="C1" s="68"/>
      <c r="D1" s="68"/>
      <c r="E1" s="157" t="s">
        <v>40</v>
      </c>
      <c r="H1" s="37"/>
      <c r="I1" s="57">
        <f>'Milk Contractor Assessment'!F6</f>
      </c>
      <c r="J1" s="58">
        <f>'Milk Contractor Assessment'!G6</f>
        <v>0</v>
      </c>
      <c r="K1" s="37"/>
      <c r="L1" s="37"/>
    </row>
    <row r="2" spans="1:12" ht="11.25">
      <c r="A2" s="69" t="str">
        <f>IF(ISBLANK(B2),"Enter ","")&amp;"License Year Beginning:"&amp;IF(R3=0,"","  (This is FUND YEAR "&amp;R3&amp;")")</f>
        <v>License Year Beginning:  (This is FUND YEAR 8)</v>
      </c>
      <c r="B2" s="64">
        <v>39934</v>
      </c>
      <c r="C2" s="29"/>
      <c r="D2" s="68"/>
      <c r="H2" s="51">
        <f>'Milk Contractor Assessment'!B13</f>
        <v>0</v>
      </c>
      <c r="I2" s="51" t="str">
        <f>'Milk Contractor Assessment'!A13</f>
        <v>Enter Years of Consecutive Participation (include current year)</v>
      </c>
      <c r="J2" s="37"/>
      <c r="K2" s="37"/>
      <c r="L2" s="37"/>
    </row>
    <row r="3" spans="1:18" ht="11.25">
      <c r="A3" s="161" t="str">
        <f>IF(H2=0,"Enter Years of Consecutive Participation on 'Milk Contractor Assessment' worksheet",IF(H2="Non-Contributing",H2,"This is YEAR "&amp;H2&amp;" of FUND participation"))</f>
        <v>Enter Years of Consecutive Participation on 'Milk Contractor Assessment' worksheet</v>
      </c>
      <c r="B3" s="161"/>
      <c r="C3" s="61">
        <f>IF(H2="Non-Contributing","",IF(H2&gt;R3,"You have chosen a Participation Year &gt; the Fund Year",IF(AND(B9="No",'Milk Contractor Assessment'!B13=1),"First Year Contributing? / Not an Original Application?","")))</f>
      </c>
      <c r="D3" s="68"/>
      <c r="H3" s="37"/>
      <c r="I3" s="37"/>
      <c r="J3" s="37"/>
      <c r="K3" s="37"/>
      <c r="L3" s="37"/>
      <c r="R3" s="48">
        <f>IF(ISNA(VLOOKUP(B2,$N$5:$R$24,5,FALSE())),,VLOOKUP(B2,$N$5:$R$24,5,FALSE()))</f>
        <v>8</v>
      </c>
    </row>
    <row r="4" spans="1:19" ht="11.25">
      <c r="A4" s="69" t="s">
        <v>32</v>
      </c>
      <c r="B4" s="70">
        <f>'Milk Contractor Assessment'!B9</f>
        <v>0</v>
      </c>
      <c r="C4" s="29"/>
      <c r="D4" s="68"/>
      <c r="H4" s="33">
        <f>'Milk Contractor Assessment'!G3</f>
        <v>0</v>
      </c>
      <c r="I4" s="33">
        <f>'Milk Contractor Assessment'!F3</f>
      </c>
      <c r="J4" s="33">
        <f>IF(I4=C9,1,)</f>
        <v>0</v>
      </c>
      <c r="K4" s="37"/>
      <c r="L4" s="37"/>
      <c r="O4" s="37" t="s">
        <v>19</v>
      </c>
      <c r="P4" s="37" t="s">
        <v>21</v>
      </c>
      <c r="Q4" s="37" t="s">
        <v>20</v>
      </c>
      <c r="R4" s="50" t="s">
        <v>35</v>
      </c>
      <c r="S4" t="s">
        <v>9</v>
      </c>
    </row>
    <row r="5" spans="1:19" ht="11.25">
      <c r="A5" s="69" t="s">
        <v>33</v>
      </c>
      <c r="B5" s="62">
        <v>5277000</v>
      </c>
      <c r="C5" s="71" t="str">
        <f>IF(B5&gt;$B$4,"This amount cannot be more than "&amp;DOLLAR(B4,2)&amp;".","")</f>
        <v>This amount cannot be more than $0.00.</v>
      </c>
      <c r="D5" s="68"/>
      <c r="H5" s="33">
        <f>'Milk Contractor Assessment'!G4</f>
        <v>0</v>
      </c>
      <c r="I5" s="33">
        <f>'Milk Contractor Assessment'!F4</f>
      </c>
      <c r="J5" s="37"/>
      <c r="K5" s="37"/>
      <c r="L5" s="37"/>
      <c r="N5" s="34">
        <v>37742</v>
      </c>
      <c r="O5" s="35">
        <v>18000000</v>
      </c>
      <c r="P5" s="36">
        <v>0.3</v>
      </c>
      <c r="Q5" s="49">
        <v>0.075</v>
      </c>
      <c r="R5" s="50">
        <v>2</v>
      </c>
      <c r="S5" t="s">
        <v>8</v>
      </c>
    </row>
    <row r="6" spans="1:18" ht="11.25">
      <c r="A6" s="69" t="s">
        <v>34</v>
      </c>
      <c r="B6" s="62"/>
      <c r="C6" s="29"/>
      <c r="D6" s="68"/>
      <c r="H6" s="37"/>
      <c r="I6" s="37"/>
      <c r="J6" s="37"/>
      <c r="K6" s="37"/>
      <c r="L6" s="37"/>
      <c r="N6" s="34">
        <v>38108</v>
      </c>
      <c r="O6" s="35">
        <v>19000000</v>
      </c>
      <c r="P6" s="36">
        <v>0.45</v>
      </c>
      <c r="Q6" s="49">
        <v>0.075</v>
      </c>
      <c r="R6" s="50">
        <v>3</v>
      </c>
    </row>
    <row r="7" spans="1:18" ht="11.25">
      <c r="A7" s="69" t="str">
        <f>IF(AND('Milk Contractor Assessment'!B12="No",ISTEXT(B7)),"Delete "&amp;B7&amp;" &gt;&gt;",IF('Milk Contractor Assessment'!B12="No",'Milk Contractor Assessment'!A12,IF(B7="No","Is a NON-",IF(B7="Yes","Is a ",""))&amp;IF(OR(B7="Yes",B7="No"),"c","C")&amp;"ontributing QUALIFIED Producer Agent"&amp;IF(OR(B7="No",B7="Yes"),"","?   (Please Answer)")))</f>
        <v>Contributing QUALIFIED Producer Agent?   (Please Answer)</v>
      </c>
      <c r="B7" s="63"/>
      <c r="C7" s="61">
        <f>IF(A7="","",IF(OR(H4=1,H11=0),"",I14))</f>
      </c>
      <c r="D7" s="68"/>
      <c r="H7" s="38">
        <f>IF('Milk Contractor Assessment'!B9&gt;1500000,1,)</f>
        <v>0</v>
      </c>
      <c r="I7" s="44" t="str">
        <f>IF(H7=1,"Security Amount for:","No Security")</f>
        <v>No Security</v>
      </c>
      <c r="J7" s="39">
        <f>IF(H7=1,IF(IF(ISNA(VLOOKUP(1,H8:J11,3,FALSE())),,VLOOKUP(1,H8:J11,3,FALSE()))&gt;IF(ISNA(VLOOKUP(2,H8:J11,3,FALSE())),,VLOOKUP(2,H8:J11,3,FALSE())),VLOOKUP(1,H8:J11,3,FALSE()),IF(ISNA(VLOOKUP(2,H8:J11,3,FALSE())),,VLOOKUP(2,H8:J11,3,FALSE()))),)</f>
        <v>0</v>
      </c>
      <c r="K7" s="40" t="s">
        <v>22</v>
      </c>
      <c r="L7" s="41" t="s">
        <v>23</v>
      </c>
      <c r="N7" s="34">
        <v>38473</v>
      </c>
      <c r="O7" s="35">
        <v>20000000</v>
      </c>
      <c r="P7" s="36">
        <v>0.6</v>
      </c>
      <c r="Q7" s="49">
        <v>0.075</v>
      </c>
      <c r="R7" s="50">
        <v>4</v>
      </c>
    </row>
    <row r="8" spans="1:18" ht="11.25">
      <c r="A8" s="29"/>
      <c r="B8" s="29"/>
      <c r="C8" s="29"/>
      <c r="D8" s="68"/>
      <c r="H8" s="38">
        <f>IF(AND(H4=1,'Milk Contractor Assessment'!B12="No"),1,)</f>
        <v>0</v>
      </c>
      <c r="I8" s="38" t="str">
        <f>IF(H8=1,"Not a Producer Agent","Not a Producer Agent ")</f>
        <v>Not a Producer Agent </v>
      </c>
      <c r="J8" s="32">
        <f>K8*IF(ISBLANK($B$6),$B$5,IF($B$6&gt;$B$5,$B$6,$B$5))</f>
        <v>3957750</v>
      </c>
      <c r="K8" s="40">
        <v>0.75</v>
      </c>
      <c r="L8" s="41"/>
      <c r="N8" s="34">
        <v>38838</v>
      </c>
      <c r="O8" s="35">
        <v>20000000</v>
      </c>
      <c r="P8" s="36">
        <v>0.75</v>
      </c>
      <c r="Q8" s="49">
        <v>0.075</v>
      </c>
      <c r="R8" s="50">
        <v>5</v>
      </c>
    </row>
    <row r="9" spans="1:18" ht="11.25">
      <c r="A9" s="72" t="str">
        <f>IF(J1=1,"",IF(AND(H2&gt;1,ISTEXT(B9)),"Delete "&amp;B9&amp;" &gt;&gt;",IF(H2&lt;2,"Is this an ORIGINAL APPLICATION?","")))</f>
        <v>Is this an ORIGINAL APPLICATION?</v>
      </c>
      <c r="B9" s="65" t="s">
        <v>9</v>
      </c>
      <c r="C9" s="73" t="str">
        <f>IF(AND(LEFT(A9,2)="Is",ISBLANK(B9)),"Please Answer the Question",IF(AND(B9="Yes",H2=1),IF(H4=1,IF(LEFT(A9,6)="Delete","",I4),"?"),IF(H5=1,IF(LEFT(A9,6)="Delete","",I5),"??")))</f>
        <v>??</v>
      </c>
      <c r="D9" s="68"/>
      <c r="H9" s="38">
        <f>IF(AND(H4=1,OR(ISBLANK(B7),B7="No"),'Milk Contractor Assessment'!B12="Yes"),1,)</f>
        <v>0</v>
      </c>
      <c r="I9" s="38" t="str">
        <f>IF(H9=1,"Is a non-Contributing Producer Agent","Is a non-Contributing Producer Agent ")</f>
        <v>Is a non-Contributing Producer Agent </v>
      </c>
      <c r="J9" s="32">
        <f>K9*IF(ISBLANK($B$6),$B$5,IF($B$6&gt;$B$5,$B$6,$B$5))</f>
        <v>3957750</v>
      </c>
      <c r="K9" s="40">
        <f>IF(ISNA(VLOOKUP(B2,N5:P24,3,FALSE())),,VLOOKUP(B2,N5:P24,3,FALSE()))</f>
        <v>0.75</v>
      </c>
      <c r="L9" s="41"/>
      <c r="N9" s="34">
        <v>39203</v>
      </c>
      <c r="O9" s="35">
        <v>20000000</v>
      </c>
      <c r="P9" s="36">
        <v>0.75</v>
      </c>
      <c r="Q9" s="52">
        <v>0.75</v>
      </c>
      <c r="R9" s="50">
        <v>6</v>
      </c>
    </row>
    <row r="10" spans="1:18" ht="24.75" customHeight="1">
      <c r="A10" s="73" t="s">
        <v>31</v>
      </c>
      <c r="B10" s="66" t="s">
        <v>8</v>
      </c>
      <c r="C10" s="73" t="str">
        <f>IF(ISNA(J7),"?",IF(AND(B9="Yes",H4=1,H7=1,H11=0),"Minimum Security Amount = "&amp;DOLLAR(J7,2),IF(AND(LEFT(A10,2)="Do",ISBLANK(B10)),"Please Answer the Question",IF(H13=1,I13,IF(J4=1,DOLLAR(J7,2)&amp;"  "&amp;I23,"??")))))</f>
        <v>??</v>
      </c>
      <c r="D10" s="68"/>
      <c r="H10" s="38">
        <f>IF(AND(H4=1,B7="Yes",'Milk Contractor Assessment'!B12="Yes"),1,)</f>
        <v>0</v>
      </c>
      <c r="I10" s="38" t="str">
        <f>IF(H10=1,"Is a Contributing Producer Agent","Is a Contributing Producer Agent ")</f>
        <v>Is a Contributing Producer Agent </v>
      </c>
      <c r="J10" s="32">
        <f>IF(K10*IF(ISBLANK($B$6),$B$5,IF($B$6&gt;$B$5,$B$6,$B$5))&gt;L10,L10,K10*IF(ISBLANK($B$6),$B$5,IF($B$6&gt;$B$5,$B$6,$B$5)))</f>
        <v>500000</v>
      </c>
      <c r="K10" s="40">
        <f>IF(ISNA(VLOOKUP(B2,N5:Q24,4,FALSE())),,VLOOKUP(B2,N5:Q24,4,FALSE()))</f>
        <v>0.75</v>
      </c>
      <c r="L10" s="42">
        <v>500000</v>
      </c>
      <c r="N10" s="34">
        <v>39569</v>
      </c>
      <c r="O10" s="35">
        <v>20000000</v>
      </c>
      <c r="P10" s="36">
        <v>0.75</v>
      </c>
      <c r="Q10" s="52">
        <v>0.75</v>
      </c>
      <c r="R10" s="50">
        <v>7</v>
      </c>
    </row>
    <row r="11" spans="1:18" ht="24.75" customHeight="1">
      <c r="A11" s="73">
        <f>IF(AND(B10="No",ISTEXT(B11)),"Delete "&amp;B11&amp;" &gt;&gt;",IF(B10="No","","Was the security filed under the old law?"))</f>
      </c>
      <c r="B11" s="66"/>
      <c r="C11" s="74" t="str">
        <f>IF(AND(B10="Yes",B11="Yes"),IF(J4=1,"?",IF(H5=1,"Deductible for Estimated Default Exposure does apply to security filed under the old law.","??")),IF(AND(LEFT(A11,3)="Was",ISBLANK(B11)),"Please Answer the Question","???"))</f>
        <v>???</v>
      </c>
      <c r="D11" s="68"/>
      <c r="H11" s="38">
        <f>IF(AND(H4=0,H5=1),1,IF(AND(H5=1,J11&gt;0.01),2,))</f>
        <v>0</v>
      </c>
      <c r="I11" s="38" t="str">
        <f>IF(H11=2,"or Estimated Default Exposure  ",IF(H11=1,"Estimated Default Exposure","Estimated Default Exposure "))</f>
        <v>Estimated Default Exposure </v>
      </c>
      <c r="J11" s="32">
        <f>IF(K11*IF(ISBLANK($B$6),$B$5,IF($B$6&gt;$B$5,$B$6,$B$5))&gt;L11,K11*IF(ISBLANK($B$6),$B$5,IF($B$6&gt;$B$5,$B$6,$B$5))-L11,)</f>
        <v>0</v>
      </c>
      <c r="K11" s="40">
        <v>0.75</v>
      </c>
      <c r="L11" s="43">
        <f>IF(ISERROR(VLOOKUP(B2,N5:O24,2,FALSE())),"",VLOOKUP(B2,N5:O24,2,FALSE()))</f>
        <v>20000000</v>
      </c>
      <c r="N11" s="34">
        <v>39934</v>
      </c>
      <c r="O11" s="35">
        <v>20000000</v>
      </c>
      <c r="P11" s="36">
        <v>0.75</v>
      </c>
      <c r="Q11" s="52">
        <v>0.75</v>
      </c>
      <c r="R11" s="50">
        <v>8</v>
      </c>
    </row>
    <row r="12" spans="1:18" ht="11.25">
      <c r="A12" s="73">
        <f>IF(AND(OR(ISBLANK(B10),ISBLANK(B11)),ISTEXT(B12)),"Delete "&amp;B12&amp;" &gt;&gt;",IF(AND(B10="Yes",B11="No"),IF(H2&gt;1,"Was security filed for First Year Negative Equity?","Why was security filed?"),IF(AND(B10="Yes",B11="Yes",ISTEXT(B12)),"Delete "&amp;B12&amp;" &gt;&gt;","")))</f>
      </c>
      <c r="B12" s="65"/>
      <c r="C12" s="73" t="str">
        <f>IF(AND(RIGHT(A12,16)="Negative Equity?",B12="Yes"),IF(C9="Estimated Default Exposure","Maintain Security - First Year Negative Equity","?"),"??")</f>
        <v>??</v>
      </c>
      <c r="D12" s="68"/>
      <c r="H12" s="38">
        <f>IF(C12="Maintain Security - First Year Negative Equity",1,)</f>
        <v>0</v>
      </c>
      <c r="I12" s="37"/>
      <c r="J12" s="37"/>
      <c r="K12" s="37"/>
      <c r="L12" s="37"/>
      <c r="N12" s="34">
        <v>40299</v>
      </c>
      <c r="O12" s="35">
        <v>20000000</v>
      </c>
      <c r="P12" s="36">
        <v>0.75</v>
      </c>
      <c r="Q12" s="52">
        <v>0.75</v>
      </c>
      <c r="R12" s="50">
        <v>9</v>
      </c>
    </row>
    <row r="13" spans="1:18" ht="11.25">
      <c r="A13" s="73">
        <f>IF(AND(A11="Was the security filed under the old law?",A12="Was security filed for First Year Negative Equity?",B11="No",B12="No"),"Why was security filed?","")</f>
      </c>
      <c r="B13" s="67"/>
      <c r="C13" s="73"/>
      <c r="D13" s="68"/>
      <c r="H13" s="38">
        <f>IF(J4=1,,IF(I13="",,1))</f>
        <v>0</v>
      </c>
      <c r="I13" s="54">
        <f>IF(OR(H11=1,H11=2,AND(H11=0,H5=1,C9=I5)),IF(J11=0,"Estimated Default Exposure does not exceed the "&amp;DOLLAR(L11,2)&amp;" deductible.","Estimated Default Exposure Security [s.126.47(3)(b)] is "&amp;DOLLAR(J11,2)&amp;"."),"")</f>
      </c>
      <c r="J13" s="37"/>
      <c r="K13" s="37"/>
      <c r="L13" s="55">
        <f>IF(MID(I13,33,3)="not",1,)</f>
        <v>0</v>
      </c>
      <c r="N13" s="34">
        <v>40664</v>
      </c>
      <c r="O13" s="35">
        <v>20000000</v>
      </c>
      <c r="P13" s="36">
        <v>0.75</v>
      </c>
      <c r="Q13" s="52">
        <v>0.75</v>
      </c>
      <c r="R13" s="50">
        <v>10</v>
      </c>
    </row>
    <row r="14" spans="1:18" ht="11.25">
      <c r="A14" s="68"/>
      <c r="B14" s="68"/>
      <c r="C14" s="68"/>
      <c r="D14" s="68"/>
      <c r="H14" s="38">
        <f>IF(OR(H11=0,H12=1,C11="Deductible for Estimated Default Exposure does not apply to security filed under the old law."),,1)</f>
        <v>0</v>
      </c>
      <c r="I14" s="54" t="str">
        <f>IF(H14=1,"Elligible for Reduced Assessment under s.126.46(5m)","Not Elligible for Reduced Assessment under s.126.46(5m)")</f>
        <v>Not Elligible for Reduced Assessment under s.126.46(5m)</v>
      </c>
      <c r="J14" s="37"/>
      <c r="K14" s="37"/>
      <c r="L14" s="37"/>
      <c r="N14" s="34">
        <v>41030</v>
      </c>
      <c r="O14" s="35">
        <v>20000000</v>
      </c>
      <c r="P14" s="36">
        <v>0.75</v>
      </c>
      <c r="Q14" s="52">
        <v>0.75</v>
      </c>
      <c r="R14" s="50">
        <v>11</v>
      </c>
    </row>
    <row r="15" spans="1:18" ht="11.25">
      <c r="A15" s="75">
        <f>IF(H13=1,I13,"")</f>
      </c>
      <c r="B15" s="68"/>
      <c r="C15" s="68"/>
      <c r="D15" s="68"/>
      <c r="H15" s="37"/>
      <c r="I15" s="37"/>
      <c r="J15" s="37"/>
      <c r="K15" s="37"/>
      <c r="L15" s="37"/>
      <c r="N15" s="34">
        <v>41395</v>
      </c>
      <c r="O15" s="35">
        <v>20000000</v>
      </c>
      <c r="P15" s="36">
        <v>0.75</v>
      </c>
      <c r="Q15" s="52">
        <v>0.75</v>
      </c>
      <c r="R15" s="50">
        <v>12</v>
      </c>
    </row>
    <row r="16" spans="1:18" ht="11.25">
      <c r="A16" s="68"/>
      <c r="B16" s="68"/>
      <c r="C16" s="68"/>
      <c r="D16" s="68"/>
      <c r="H16" s="37"/>
      <c r="I16" s="54" t="s">
        <v>24</v>
      </c>
      <c r="J16" s="54"/>
      <c r="K16" s="37"/>
      <c r="L16" s="37"/>
      <c r="N16" s="34">
        <v>41760</v>
      </c>
      <c r="O16" s="35">
        <v>20000000</v>
      </c>
      <c r="P16" s="36">
        <v>0.75</v>
      </c>
      <c r="Q16" s="52">
        <v>0.75</v>
      </c>
      <c r="R16" s="50">
        <v>13</v>
      </c>
    </row>
    <row r="17" spans="1:18" ht="11.25">
      <c r="A17" s="68"/>
      <c r="B17" s="68"/>
      <c r="C17" s="68"/>
      <c r="D17" s="68"/>
      <c r="H17" s="37"/>
      <c r="I17" s="38" t="s">
        <v>25</v>
      </c>
      <c r="J17" s="32">
        <f>J11</f>
        <v>0</v>
      </c>
      <c r="K17" s="37"/>
      <c r="L17" s="37"/>
      <c r="N17" s="34">
        <v>42125</v>
      </c>
      <c r="O17" s="35">
        <v>20000000</v>
      </c>
      <c r="P17" s="36">
        <v>0.75</v>
      </c>
      <c r="Q17" s="52">
        <v>0.75</v>
      </c>
      <c r="R17" s="50">
        <v>14</v>
      </c>
    </row>
    <row r="18" spans="1:18" ht="11.25">
      <c r="A18" s="68"/>
      <c r="B18" s="68"/>
      <c r="C18" s="68"/>
      <c r="D18" s="68"/>
      <c r="H18" s="37"/>
      <c r="I18" s="38" t="s">
        <v>30</v>
      </c>
      <c r="J18" s="32">
        <f>K11*IF(ISBLANK($B$6),$B$5,IF($B$6&gt;$B$5,$B$6,$B$5))</f>
        <v>3957750</v>
      </c>
      <c r="K18" s="37"/>
      <c r="L18" s="37"/>
      <c r="N18" s="34">
        <v>42491</v>
      </c>
      <c r="O18" s="35">
        <v>20000000</v>
      </c>
      <c r="P18" s="36">
        <v>0.75</v>
      </c>
      <c r="Q18" s="52">
        <v>0.75</v>
      </c>
      <c r="R18" s="50">
        <v>15</v>
      </c>
    </row>
    <row r="19" spans="1:18" ht="7.5" customHeight="1">
      <c r="A19" s="68"/>
      <c r="B19" s="68"/>
      <c r="C19" s="68"/>
      <c r="D19" s="68"/>
      <c r="H19" s="37"/>
      <c r="I19" s="38" t="s">
        <v>26</v>
      </c>
      <c r="J19" s="38">
        <f>J17/J18</f>
        <v>0</v>
      </c>
      <c r="K19" s="37"/>
      <c r="L19" s="37"/>
      <c r="N19" s="34">
        <v>42856</v>
      </c>
      <c r="O19" s="35">
        <v>20000000</v>
      </c>
      <c r="P19" s="36">
        <v>0.75</v>
      </c>
      <c r="Q19" s="52">
        <v>0.75</v>
      </c>
      <c r="R19" s="50">
        <v>16</v>
      </c>
    </row>
    <row r="20" spans="1:18" ht="12.75">
      <c r="A20" s="158" t="s">
        <v>41</v>
      </c>
      <c r="C20" t="s">
        <v>27</v>
      </c>
      <c r="H20" s="37"/>
      <c r="I20" s="38">
        <f>'Milk Contractor Assessment'!A6</f>
      </c>
      <c r="J20" s="45">
        <f>'Milk Contractor Assessment'!B6</f>
      </c>
      <c r="K20" s="37"/>
      <c r="L20" s="37"/>
      <c r="N20" s="34">
        <v>43221</v>
      </c>
      <c r="O20" s="35">
        <v>20000000</v>
      </c>
      <c r="P20" s="36">
        <v>0.75</v>
      </c>
      <c r="Q20" s="52">
        <v>0.75</v>
      </c>
      <c r="R20" s="50">
        <v>17</v>
      </c>
    </row>
    <row r="21" spans="3:18" ht="11.25">
      <c r="C21" t="s">
        <v>36</v>
      </c>
      <c r="H21" s="38">
        <f>IF(AND(H11&gt;0,J4=0,H12=0,OR(H14=1,H11=1,AND(H11=2,J11=J7))),1,)</f>
        <v>0</v>
      </c>
      <c r="I21" s="47" t="str">
        <f>IF(H21=1,"Assessment Reduction for Estimated Default Exposure","Not Elligible for Reduced Assessment")</f>
        <v>Not Elligible for Reduced Assessment</v>
      </c>
      <c r="J21" s="46">
        <f>IF(H21=1,J20*J19,)</f>
        <v>0</v>
      </c>
      <c r="K21" s="37"/>
      <c r="L21" s="37"/>
      <c r="N21" s="34">
        <v>43586</v>
      </c>
      <c r="O21" s="35">
        <v>20000000</v>
      </c>
      <c r="P21" s="36">
        <v>0.75</v>
      </c>
      <c r="Q21" s="52">
        <v>0.75</v>
      </c>
      <c r="R21" s="50">
        <v>18</v>
      </c>
    </row>
    <row r="22" spans="3:18" ht="11.25">
      <c r="C22" t="s">
        <v>28</v>
      </c>
      <c r="H22" s="37"/>
      <c r="I22" s="37"/>
      <c r="J22" s="37"/>
      <c r="K22" s="37"/>
      <c r="L22" s="37"/>
      <c r="N22" s="34">
        <v>43952</v>
      </c>
      <c r="O22" s="35">
        <v>20000000</v>
      </c>
      <c r="P22" s="36">
        <v>0.75</v>
      </c>
      <c r="Q22" s="52">
        <v>0.75</v>
      </c>
      <c r="R22" s="50">
        <v>19</v>
      </c>
    </row>
    <row r="23" spans="8:18" ht="11.25">
      <c r="H23" s="37"/>
      <c r="I23" s="37">
        <f>IF(ISNA(VLOOKUP(1,H8:I10,2,FALSE())),"",IF(VLOOKUP(1,H8:I10,2,FALSE())=I8,"(Not a Qualified Producer Agent)",IF(VLOOKUP(1,H8:I10,2,FALSE())=I9,"(Non-Contributing Qualified Producer Agent)",IF(VLOOKUP(1,H8:I10,2,FALSE())=I10,"(Contributing Qualified Producer Agent)",""))))</f>
      </c>
      <c r="J23" s="37"/>
      <c r="K23" s="37"/>
      <c r="L23" s="37"/>
      <c r="N23" s="34">
        <v>44317</v>
      </c>
      <c r="O23" s="35">
        <v>20000000</v>
      </c>
      <c r="P23" s="36">
        <v>0.75</v>
      </c>
      <c r="Q23" s="52">
        <v>0.75</v>
      </c>
      <c r="R23" s="50">
        <v>20</v>
      </c>
    </row>
    <row r="24" spans="3:18" ht="11.25">
      <c r="C24" t="s">
        <v>29</v>
      </c>
      <c r="H24" s="37"/>
      <c r="I24" s="37"/>
      <c r="J24" s="37"/>
      <c r="K24" s="37"/>
      <c r="L24" s="37"/>
      <c r="N24" s="34">
        <v>44682</v>
      </c>
      <c r="O24" s="35">
        <v>20000000</v>
      </c>
      <c r="P24" s="36">
        <v>0.75</v>
      </c>
      <c r="Q24" s="52">
        <v>0.75</v>
      </c>
      <c r="R24" s="50">
        <v>21</v>
      </c>
    </row>
    <row r="27" ht="11.25">
      <c r="I27" s="53"/>
    </row>
    <row r="28" ht="11.25">
      <c r="I28" s="53"/>
    </row>
    <row r="29" ht="11.25">
      <c r="I29" s="53"/>
    </row>
  </sheetData>
  <sheetProtection/>
  <mergeCells count="1">
    <mergeCell ref="A3:B3"/>
  </mergeCells>
  <conditionalFormatting sqref="I8">
    <cfRule type="cellIs" priority="1" dxfId="37" operator="equal" stopIfTrue="1">
      <formula>"Not a Producer Agent"</formula>
    </cfRule>
  </conditionalFormatting>
  <conditionalFormatting sqref="I9">
    <cfRule type="cellIs" priority="2" dxfId="37" operator="equal" stopIfTrue="1">
      <formula>"Is a non-Contributing Producer Agent"</formula>
    </cfRule>
  </conditionalFormatting>
  <conditionalFormatting sqref="I10">
    <cfRule type="cellIs" priority="3" dxfId="37" operator="equal" stopIfTrue="1">
      <formula>"Is a Contributing Producer Agent"</formula>
    </cfRule>
  </conditionalFormatting>
  <conditionalFormatting sqref="I7">
    <cfRule type="cellIs" priority="4" dxfId="37" operator="equal" stopIfTrue="1">
      <formula>"Security Amount for:"</formula>
    </cfRule>
  </conditionalFormatting>
  <conditionalFormatting sqref="I11">
    <cfRule type="cellIs" priority="5" dxfId="37" operator="equal" stopIfTrue="1">
      <formula>"Estimated Default Exposure"</formula>
    </cfRule>
    <cfRule type="cellIs" priority="6" dxfId="38" operator="equal" stopIfTrue="1">
      <formula>"or Estimated Default Exposure  "</formula>
    </cfRule>
  </conditionalFormatting>
  <conditionalFormatting sqref="A9:C12 A13 C13">
    <cfRule type="cellIs" priority="7" dxfId="39" operator="notEqual" stopIfTrue="1">
      <formula>""</formula>
    </cfRule>
  </conditionalFormatting>
  <conditionalFormatting sqref="A7">
    <cfRule type="cellIs" priority="8" dxfId="40" operator="equal" stopIfTrue="1">
      <formula>"Delete Yes &gt;&gt;"</formula>
    </cfRule>
    <cfRule type="cellIs" priority="9" dxfId="40" operator="equal" stopIfTrue="1">
      <formula>"Delete No &gt;&gt;"</formula>
    </cfRule>
    <cfRule type="cellIs" priority="10" dxfId="41" operator="equal" stopIfTrue="1">
      <formula>"Contributing QUALIFIED Producer Agent?   (Please Answer)"</formula>
    </cfRule>
  </conditionalFormatting>
  <conditionalFormatting sqref="B2">
    <cfRule type="cellIs" priority="11" dxfId="42" operator="notEqual" stopIfTrue="1">
      <formula>""</formula>
    </cfRule>
  </conditionalFormatting>
  <conditionalFormatting sqref="A1">
    <cfRule type="cellIs" priority="12" dxfId="43" operator="equal" stopIfTrue="1">
      <formula>"Financial Ratios OK - Security is NOT Required"</formula>
    </cfRule>
  </conditionalFormatting>
  <conditionalFormatting sqref="C3">
    <cfRule type="cellIs" priority="13" dxfId="37" operator="equal" stopIfTrue="1">
      <formula>"You have chosen a Participation Year &gt; the Fund Year"</formula>
    </cfRule>
  </conditionalFormatting>
  <dataValidations count="2">
    <dataValidation type="list" allowBlank="1" showInputMessage="1" showErrorMessage="1" errorTitle="Data Entry Error:" error="Choose from the drop-down list." sqref="B2">
      <formula1>$N$4:$N$24</formula1>
    </dataValidation>
    <dataValidation type="list" allowBlank="1" showInputMessage="1" showErrorMessage="1" sqref="B7 B9:B12">
      <formula1>$S$3:$S$5</formula1>
    </dataValidation>
  </dataValidations>
  <printOptions/>
  <pageMargins left="0.75" right="0.75" top="1" bottom="1" header="0.5" footer="0.5"/>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sheetPr codeName="Sheet1"/>
  <dimension ref="A1:R51"/>
  <sheetViews>
    <sheetView showGridLines="0" showRowColHeaders="0" tabSelected="1" zoomScalePageLayoutView="0" workbookViewId="0" topLeftCell="A22">
      <selection activeCell="B10" sqref="B10"/>
    </sheetView>
  </sheetViews>
  <sheetFormatPr defaultColWidth="0" defaultRowHeight="11.25" zeroHeight="1"/>
  <cols>
    <col min="1" max="1" width="67.83203125" style="12" bestFit="1" customWidth="1"/>
    <col min="2" max="2" width="19" style="12" bestFit="1" customWidth="1"/>
    <col min="3" max="3" width="16.16015625" style="12" customWidth="1"/>
    <col min="4" max="4" width="26.83203125" style="12" customWidth="1"/>
    <col min="5" max="5" width="26.83203125" style="78" customWidth="1"/>
    <col min="6" max="6" width="26.83203125" style="12" hidden="1" customWidth="1"/>
    <col min="7" max="7" width="10.66015625" style="12" hidden="1" customWidth="1"/>
    <col min="8" max="8" width="12.5" style="12" hidden="1" customWidth="1"/>
    <col min="9" max="9" width="38.33203125" style="12" hidden="1" customWidth="1"/>
    <col min="10" max="10" width="12.5" style="68" hidden="1" customWidth="1"/>
    <col min="11" max="11" width="29.5" style="68" hidden="1" customWidth="1"/>
    <col min="12" max="12" width="10.16015625" style="68" hidden="1" customWidth="1"/>
    <col min="13" max="13" width="10.83203125" style="68" hidden="1" customWidth="1"/>
    <col min="14" max="14" width="15.16015625" style="68" hidden="1" customWidth="1"/>
    <col min="15" max="15" width="10.83203125" style="68" hidden="1" customWidth="1"/>
    <col min="16" max="16" width="15.16015625" style="68" hidden="1" customWidth="1"/>
    <col min="17" max="17" width="5.66015625" style="68" hidden="1" customWidth="1"/>
    <col min="18" max="18" width="4" style="87" hidden="1" customWidth="1"/>
    <col min="19" max="16384" width="10.66015625" style="68" hidden="1" customWidth="1"/>
  </cols>
  <sheetData>
    <row r="1" spans="1:6" ht="19.5" customHeight="1">
      <c r="A1" s="164"/>
      <c r="B1" s="164"/>
      <c r="C1" s="164"/>
      <c r="D1" s="149" t="str">
        <f>IF(ISBLANK(A1),"&lt; Enter Name","")</f>
        <v>&lt; Enter Name</v>
      </c>
      <c r="F1" s="157" t="s">
        <v>40</v>
      </c>
    </row>
    <row r="2" spans="1:3" ht="15.75" customHeight="1">
      <c r="A2" s="162">
        <f>I38</f>
      </c>
      <c r="B2" s="163"/>
      <c r="C2" s="163"/>
    </row>
    <row r="3" spans="1:7" ht="13.5" customHeight="1">
      <c r="A3" s="2">
        <f>IF(OR(ISBLANK(B9),L4&gt;0.1),"",A28)</f>
      </c>
      <c r="B3" s="2">
        <f>IF(A2="",IF(OR(ISBLANK(B9),L4&gt;0.1),"",IF(B27&lt;0,,B27)),"")</f>
      </c>
      <c r="C3" s="2">
        <f>IF(J32=1,IF(C27&lt;0,,C27),"")</f>
      </c>
      <c r="F3" s="91">
        <f>IF(AND(B9&gt;1500000,B11="Negative Equity",B13=1),"First Year Negative Equity","")</f>
      </c>
      <c r="G3" s="92">
        <f>IF(F3="",,1)</f>
        <v>0</v>
      </c>
    </row>
    <row r="4" spans="1:12" ht="13.5" customHeight="1">
      <c r="A4" s="2">
        <f>IF(OR(ISBLANK(B9),L4&gt;0.1),"",A41)</f>
      </c>
      <c r="B4" s="2">
        <f>IF(A2="",IF(OR(ISBLANK(B9),L4&gt;0.1),"",IF(B40&lt;0,,B40)),"")</f>
      </c>
      <c r="C4" s="2">
        <f>IF(J34=1,IF(C40&lt;0,,C40),"")</f>
      </c>
      <c r="D4" s="1"/>
      <c r="E4" s="79"/>
      <c r="F4" s="91">
        <f>IF(AND(B10&gt;0,OR(B10&lt;1.25,B11="Negative Equity",AND(B11&gt;0,B11&gt;2))),"Estimated Default Exposure","")</f>
      </c>
      <c r="G4" s="92">
        <f>IF(F4="",,1)</f>
        <v>0</v>
      </c>
      <c r="H4" s="93">
        <f>IF(ISBLANK(B10),1,)</f>
        <v>1</v>
      </c>
      <c r="I4" s="93">
        <f>IF(ISBLANK(B11),1,)</f>
        <v>1</v>
      </c>
      <c r="J4" s="93">
        <f>IF(ISBLANK(B12),1,)</f>
        <v>1</v>
      </c>
      <c r="K4" s="93">
        <f>IF(ISBLANK(B13),1,)</f>
        <v>1</v>
      </c>
      <c r="L4" s="93">
        <f>SUM(H4:K4)</f>
        <v>4</v>
      </c>
    </row>
    <row r="5" spans="1:17" s="87" customFormat="1" ht="15.75" customHeight="1">
      <c r="A5" s="2">
        <f>IF(OR(ISBLANK(B9),L4&gt;0.1),"","Less 20%")</f>
      </c>
      <c r="B5" s="4">
        <f>IF(L4=0,B42,"")</f>
      </c>
      <c r="C5" s="4">
        <f>IF(J34=1,C42,"")</f>
      </c>
      <c r="D5" s="3"/>
      <c r="E5" s="80"/>
      <c r="F5" s="56">
        <f>IF(AND(B13="Non-Contributing",OR(B10&lt;1.25,B11&gt;2,B11="Negative Equity")),"     Must Contribute - Enter '1' &gt;&gt;&gt;","")</f>
      </c>
      <c r="G5" s="56">
        <f>IF(F5="     Must Contribute - Enter '1' &gt;&gt;&gt;",1,)</f>
        <v>0</v>
      </c>
      <c r="H5" s="94" t="str">
        <f>IF(H4=1," current ratio","")</f>
        <v> current ratio</v>
      </c>
      <c r="I5" s="94" t="str">
        <f>IF(I4=1," debt to equity ratio","")</f>
        <v> debt to equity ratio</v>
      </c>
      <c r="J5" s="94" t="str">
        <f>IF(J4=1," producer agent","")</f>
        <v> producer agent</v>
      </c>
      <c r="K5" s="94" t="str">
        <f>IF(K4=1," consecutive years","")</f>
        <v> consecutive years</v>
      </c>
      <c r="L5" s="68"/>
      <c r="M5" s="68"/>
      <c r="N5" s="68"/>
      <c r="O5" s="68"/>
      <c r="P5" s="68"/>
      <c r="Q5" s="68"/>
    </row>
    <row r="6" spans="1:17" s="87" customFormat="1" ht="10.5" customHeight="1">
      <c r="A6" s="2">
        <f>IF(OR(ISBLANK(B11),L6&gt;0.1),"",A43)</f>
      </c>
      <c r="B6" s="5">
        <f>IF(A2="",IF(OR(ISBLANK(B9),L4&gt;0.1),"",B43),"")</f>
      </c>
      <c r="C6" s="5">
        <f>IF(AND(J32=1,J34=1),C43,"")</f>
      </c>
      <c r="D6" s="3"/>
      <c r="E6" s="80"/>
      <c r="F6" s="56">
        <f>IF(AND(OR(B10=1.25,B10&gt;1.25),OR(B11=2,B11&lt;2),B11&gt;0,ISNUMBER(B11)),"Financial Ratios OK","")</f>
      </c>
      <c r="G6" s="56">
        <f>IF(F6="Financial Ratios OK",1,)</f>
        <v>0</v>
      </c>
      <c r="H6" s="68"/>
      <c r="I6" s="68" t="s">
        <v>0</v>
      </c>
      <c r="J6" s="68"/>
      <c r="K6" s="68"/>
      <c r="L6" s="68"/>
      <c r="M6" s="68"/>
      <c r="N6" s="29" t="s">
        <v>1</v>
      </c>
      <c r="O6" s="68"/>
      <c r="P6" s="68"/>
      <c r="Q6" s="68"/>
    </row>
    <row r="7" spans="1:17" s="87" customFormat="1" ht="3" customHeight="1">
      <c r="A7" s="2">
        <f>IF(OR(ISBLANK(B12),L7&gt;0.1),"",A45)</f>
      </c>
      <c r="D7" s="3"/>
      <c r="E7" s="80"/>
      <c r="F7" s="59" t="str">
        <f>IF(OR(ISBLANK(B10),ISBLANK(B11)),"No Data",IF(AND(B10=0,B11=0),"No Financial Statement Filed","Financial Statement Filed"))</f>
        <v>No Data</v>
      </c>
      <c r="G7" s="59">
        <f>IF(F7="No Data",9,IF(F7="Financial Statement Filed",,1))</f>
        <v>9</v>
      </c>
      <c r="H7" s="95"/>
      <c r="I7" s="96"/>
      <c r="J7" s="95"/>
      <c r="K7" s="97"/>
      <c r="L7" s="98"/>
      <c r="M7" s="95"/>
      <c r="N7" s="96"/>
      <c r="O7" s="97"/>
      <c r="P7" s="68"/>
      <c r="Q7" s="68"/>
    </row>
    <row r="8" spans="1:18" ht="12.75">
      <c r="A8" s="87"/>
      <c r="B8" s="87"/>
      <c r="C8" s="87"/>
      <c r="D8" s="6"/>
      <c r="E8" s="81"/>
      <c r="F8" s="6"/>
      <c r="G8" s="6"/>
      <c r="H8" s="99" t="s">
        <v>3</v>
      </c>
      <c r="I8" s="100" t="s">
        <v>4</v>
      </c>
      <c r="J8" s="101" t="s">
        <v>3</v>
      </c>
      <c r="K8" s="102" t="s">
        <v>5</v>
      </c>
      <c r="L8" s="103" t="s">
        <v>3</v>
      </c>
      <c r="M8" s="104" t="s">
        <v>6</v>
      </c>
      <c r="N8" s="105" t="s">
        <v>3</v>
      </c>
      <c r="O8" s="106" t="s">
        <v>7</v>
      </c>
      <c r="Q8" s="68" t="s">
        <v>8</v>
      </c>
      <c r="R8" s="87" t="s">
        <v>37</v>
      </c>
    </row>
    <row r="9" spans="1:18" ht="12.75">
      <c r="A9" s="6" t="str">
        <f>IF(ISBLANK(B9),"Enter Total Annual Milk Payroll Obligations (for fiscal year)","Total Annual Milk Payroll Obligations (for fiscal year)")</f>
        <v>Enter Total Annual Milk Payroll Obligations (for fiscal year)</v>
      </c>
      <c r="B9" s="24"/>
      <c r="C9" s="7" t="s">
        <v>2</v>
      </c>
      <c r="D9" s="6"/>
      <c r="E9" s="81"/>
      <c r="F9" s="6"/>
      <c r="G9" s="6"/>
      <c r="H9" s="107">
        <v>1</v>
      </c>
      <c r="I9" s="108">
        <v>0.001</v>
      </c>
      <c r="J9" s="109">
        <v>1</v>
      </c>
      <c r="K9" s="110">
        <v>0.0015</v>
      </c>
      <c r="L9" s="111">
        <v>1</v>
      </c>
      <c r="M9" s="112">
        <v>0.0015</v>
      </c>
      <c r="N9" s="113">
        <v>1</v>
      </c>
      <c r="O9" s="114">
        <v>0.00225</v>
      </c>
      <c r="Q9" s="68" t="s">
        <v>9</v>
      </c>
      <c r="R9" s="87">
        <v>1</v>
      </c>
    </row>
    <row r="10" spans="1:18" ht="12.75">
      <c r="A10" s="6" t="str">
        <f>IF(ISBLANK(B10),"Enter the Current Ratio","Current Ratio")</f>
        <v>Enter the Current Ratio</v>
      </c>
      <c r="B10" s="22"/>
      <c r="C10" s="20"/>
      <c r="D10" s="6"/>
      <c r="E10" s="81"/>
      <c r="F10" s="6"/>
      <c r="G10" s="6"/>
      <c r="H10" s="107">
        <v>2</v>
      </c>
      <c r="I10" s="108">
        <v>0.001</v>
      </c>
      <c r="J10" s="109">
        <v>2</v>
      </c>
      <c r="K10" s="110">
        <v>0.0015</v>
      </c>
      <c r="L10" s="111">
        <v>2</v>
      </c>
      <c r="M10" s="112">
        <v>0.0015</v>
      </c>
      <c r="N10" s="113">
        <v>2</v>
      </c>
      <c r="O10" s="114">
        <v>0.00225</v>
      </c>
      <c r="R10" s="87">
        <v>2</v>
      </c>
    </row>
    <row r="11" spans="1:18" ht="12.75">
      <c r="A11" s="6" t="str">
        <f>IF(ISBLANK(B11),"Enter the Debt to Equity Ratio","Debt to Equity Ratio")</f>
        <v>Enter the Debt to Equity Ratio</v>
      </c>
      <c r="B11" s="22"/>
      <c r="C11" s="20"/>
      <c r="D11" s="6"/>
      <c r="E11" s="81"/>
      <c r="F11" s="6"/>
      <c r="G11" s="6"/>
      <c r="H11" s="107">
        <v>3</v>
      </c>
      <c r="I11" s="108">
        <v>0.0007</v>
      </c>
      <c r="J11" s="109">
        <v>3</v>
      </c>
      <c r="K11" s="110">
        <v>0.0015</v>
      </c>
      <c r="L11" s="111">
        <v>3</v>
      </c>
      <c r="M11" s="112">
        <v>0.001</v>
      </c>
      <c r="N11" s="113">
        <v>3</v>
      </c>
      <c r="O11" s="114">
        <v>0.00225</v>
      </c>
      <c r="R11" s="87">
        <v>3</v>
      </c>
    </row>
    <row r="12" spans="1:18" ht="12.75">
      <c r="A12" s="6" t="str">
        <f>IF(ISBLANK(B12),"Is this for a QUALIFIED Producer Agent?",IF(B12="Yes","F","Not f")&amp;"or a QUALIFIED producer agent")</f>
        <v>Is this for a QUALIFIED Producer Agent?</v>
      </c>
      <c r="B12" s="23"/>
      <c r="C12" s="21"/>
      <c r="D12" s="6"/>
      <c r="E12" s="81"/>
      <c r="F12" s="6"/>
      <c r="G12" s="6"/>
      <c r="H12" s="107">
        <v>4</v>
      </c>
      <c r="I12" s="108">
        <v>0.0003</v>
      </c>
      <c r="J12" s="109">
        <v>4</v>
      </c>
      <c r="K12" s="110">
        <v>0.0015</v>
      </c>
      <c r="L12" s="111">
        <v>4</v>
      </c>
      <c r="M12" s="112">
        <v>0.0005</v>
      </c>
      <c r="N12" s="113">
        <v>4</v>
      </c>
      <c r="O12" s="114">
        <v>0.00225</v>
      </c>
      <c r="R12" s="87">
        <v>4</v>
      </c>
    </row>
    <row r="13" spans="1:18" s="12" customFormat="1" ht="12.75" customHeight="1">
      <c r="A13" s="6" t="str">
        <f>IF(G5=1,F5,IF(ISBLANK(B13),"Enter Years of Consecutive Participation (include current year)","Years of Consecutive Fund Participation"))</f>
        <v>Enter Years of Consecutive Participation (include current year)</v>
      </c>
      <c r="B13" s="23"/>
      <c r="C13" s="21"/>
      <c r="D13" s="6"/>
      <c r="E13" s="81"/>
      <c r="F13" s="6"/>
      <c r="G13" s="6"/>
      <c r="H13" s="107">
        <v>5</v>
      </c>
      <c r="I13" s="108">
        <v>0</v>
      </c>
      <c r="J13" s="109">
        <v>5</v>
      </c>
      <c r="K13" s="110">
        <v>0.000675</v>
      </c>
      <c r="L13" s="111">
        <v>5</v>
      </c>
      <c r="M13" s="112">
        <v>0</v>
      </c>
      <c r="N13" s="113">
        <v>5</v>
      </c>
      <c r="O13" s="114">
        <v>0.001</v>
      </c>
      <c r="R13" s="87">
        <v>5</v>
      </c>
    </row>
    <row r="14" spans="2:18" ht="19.5" customHeight="1">
      <c r="B14" s="30"/>
      <c r="C14" s="6"/>
      <c r="D14" s="6"/>
      <c r="E14" s="81"/>
      <c r="F14" s="6"/>
      <c r="G14" s="6"/>
      <c r="H14" s="107">
        <v>6</v>
      </c>
      <c r="I14" s="108">
        <v>0</v>
      </c>
      <c r="J14" s="109">
        <v>6</v>
      </c>
      <c r="K14" s="110">
        <v>0.000675</v>
      </c>
      <c r="L14" s="111">
        <v>6</v>
      </c>
      <c r="M14" s="112">
        <v>0</v>
      </c>
      <c r="N14" s="113">
        <v>6</v>
      </c>
      <c r="O14" s="114">
        <v>0.001</v>
      </c>
      <c r="R14" s="87">
        <v>6</v>
      </c>
    </row>
    <row r="15" spans="1:18" ht="15.75">
      <c r="A15" s="27" t="str">
        <f>"Current Ratio Assessment   "&amp;IF(OR(B10=1.25,B10&gt;1.25),"ATCP 100.135(2)(a)",IF(AND(B10&lt;1.25,OR(B10=1.05,B10&gt;1.05)),"ATCP 100.135(2)(b)",IF(AND(B10&gt;0,B10&lt;1.05),"ATCP 100.135(2)(c)",IF(AND(B10=0,B12="no"),"ATCP 100.135(2)(d)",IF(AND(B10=0,B12="yes"),"ATCP 100.135(2)(e)","")))))</f>
        <v>Current Ratio Assessment   </v>
      </c>
      <c r="B15" s="28"/>
      <c r="C15" s="28"/>
      <c r="D15" s="6"/>
      <c r="E15" s="81"/>
      <c r="F15" s="6"/>
      <c r="G15" s="6"/>
      <c r="H15" s="107">
        <v>7</v>
      </c>
      <c r="I15" s="108">
        <v>0</v>
      </c>
      <c r="J15" s="109">
        <v>7</v>
      </c>
      <c r="K15" s="110">
        <v>0.000675</v>
      </c>
      <c r="L15" s="111">
        <v>7</v>
      </c>
      <c r="M15" s="112">
        <v>0</v>
      </c>
      <c r="N15" s="113">
        <v>7</v>
      </c>
      <c r="O15" s="114">
        <v>0.001</v>
      </c>
      <c r="R15" s="87">
        <v>7</v>
      </c>
    </row>
    <row r="16" spans="1:18" ht="12.75">
      <c r="A16" s="26">
        <f>IF(L4&gt;0.1,"",IF(OR(B10=1.25,B10&gt;1.25),"The current ratio is at least 1.25:1.",IF(AND(B10&lt;1.25,OR(B10=1.05,B10&gt;1.05)),"The current ratio is between 1.05 and 1.25.",IF(AND(B10&lt;1.05,B10&gt;0),"The current ratio is less than 1.05:1.",IF(B10=0,"No financial statement.","")))))</f>
      </c>
      <c r="B16" s="28"/>
      <c r="C16" s="28"/>
      <c r="D16" s="6"/>
      <c r="E16" s="81"/>
      <c r="F16" s="6"/>
      <c r="G16" s="6"/>
      <c r="H16" s="107">
        <v>8</v>
      </c>
      <c r="I16" s="108">
        <v>0</v>
      </c>
      <c r="J16" s="109">
        <v>8</v>
      </c>
      <c r="K16" s="110">
        <v>0.000675</v>
      </c>
      <c r="L16" s="111">
        <v>8</v>
      </c>
      <c r="M16" s="112">
        <v>0</v>
      </c>
      <c r="N16" s="113">
        <v>8</v>
      </c>
      <c r="O16" s="114">
        <v>0.001</v>
      </c>
      <c r="R16" s="87">
        <v>8</v>
      </c>
    </row>
    <row r="17" spans="1:18" ht="12.75">
      <c r="A17" s="8" t="s">
        <v>0</v>
      </c>
      <c r="B17" s="9">
        <f>B10</f>
        <v>0</v>
      </c>
      <c r="C17" s="10">
        <f>IF(J32=1,C10,"")</f>
      </c>
      <c r="D17" s="6"/>
      <c r="E17" s="81"/>
      <c r="F17" s="6"/>
      <c r="G17" s="6"/>
      <c r="H17" s="107">
        <v>9</v>
      </c>
      <c r="I17" s="108">
        <v>0</v>
      </c>
      <c r="J17" s="109">
        <v>9</v>
      </c>
      <c r="K17" s="110">
        <v>0.000675</v>
      </c>
      <c r="L17" s="111">
        <v>9</v>
      </c>
      <c r="M17" s="112">
        <v>0</v>
      </c>
      <c r="N17" s="113">
        <v>9</v>
      </c>
      <c r="O17" s="114">
        <v>0.001</v>
      </c>
      <c r="R17" s="87">
        <v>9</v>
      </c>
    </row>
    <row r="18" spans="1:18" ht="12.75">
      <c r="A18" s="6">
        <f>IF(OR(B10=1.25,B10&gt;1.25),"1) Subtract 3 from the current ratio.",IF(AND(B10&lt;1.25,OR(B10=1.05,B10&gt;1.05)),"1) Subtract 3 from the current ratio.",IF(AND(B10&gt;0,B10&lt;1.05),"8) .1201478 times "&amp;$H$28&amp;". "&amp;I36,IF(AND(B10=0,B12="no"),"8) .103005 times "&amp;$H$28&amp;". "&amp;I36,IF(AND(B10=0,B12="yes"),"8) The current ratio assessment rate is "&amp;J28&amp;".","")))))</f>
      </c>
      <c r="B18" s="11">
        <f>ROUND(IF(OR(B10=1.25,B10&gt;1.25),B17-3,IF(AND(B10&lt;1.25,OR(B10=1.05,B10&gt;1.05)),B17-3,IF(AND(B10&gt;0,B10&lt;1.05),0.1201478*$H$28,IF(AND(B10=0,B12="no"),0.103005*$H$28,IF(AND(B10=0,B12="yes"),IF(B13&gt;4,0.000175,0.00025),))))),6)</f>
        <v>0</v>
      </c>
      <c r="C18" s="11">
        <f>IF(J32=1,ROUND(IF(OR(C10=1.25,C10&gt;1.25),C17-3,IF(AND(C10&lt;1.25,OR(C10=1.05,C10&gt;1.05)),C17-3,IF(AND(C10&lt;1.05,C10&gt;0),0.1201478*$H$32,IF(AND(C10=0,$C$12="no"),0.103005*$H$32,IF(AND(C10=0,$C$12&lt;&gt;"no"),IF(C13&gt;4,0.000175,0.00025),""))))),6),"")</f>
      </c>
      <c r="D18" s="6"/>
      <c r="E18" s="81"/>
      <c r="F18" s="6"/>
      <c r="G18" s="6"/>
      <c r="H18" s="107">
        <v>10</v>
      </c>
      <c r="I18" s="108">
        <v>0</v>
      </c>
      <c r="J18" s="109">
        <v>10</v>
      </c>
      <c r="K18" s="110">
        <v>0.000675</v>
      </c>
      <c r="L18" s="111">
        <v>10</v>
      </c>
      <c r="M18" s="112">
        <v>0</v>
      </c>
      <c r="N18" s="113">
        <v>10</v>
      </c>
      <c r="O18" s="114">
        <v>0.001</v>
      </c>
      <c r="R18" s="87">
        <v>10</v>
      </c>
    </row>
    <row r="19" spans="1:18" ht="12.75">
      <c r="A19" s="6">
        <f>IF(OR(B10=1.25,B10&gt;1.25),"2) Divide (1) by 6.",IF(AND(B10&lt;1.25,OR(B10=1.05,B10&gt;1.05)),"2) Divide (1) by 6.",IF(B10&lt;1.05,"","")))</f>
      </c>
      <c r="B19" s="11">
        <f>ROUND(IF(OR(B10=1.25,B10&gt;1.25),B18/6,IF(AND(B10&lt;1.25,OR(B10=1.05,B10&gt;1.05)),B18/6,)),6)</f>
        <v>0</v>
      </c>
      <c r="C19" s="11">
        <f>IF(J32=1,ROUND(IF(OR(C10=1.25,C10&gt;1.25),C18/6,IF(AND(C10&lt;1.25,OR(C10=1.05,C10&gt;1.05)),C18/6,)),6),"")</f>
      </c>
      <c r="D19" s="6"/>
      <c r="E19" s="81"/>
      <c r="F19" s="6"/>
      <c r="G19" s="6"/>
      <c r="H19" s="107">
        <v>11</v>
      </c>
      <c r="I19" s="108">
        <v>0</v>
      </c>
      <c r="J19" s="109">
        <v>11</v>
      </c>
      <c r="K19" s="110">
        <v>0.000675</v>
      </c>
      <c r="L19" s="111">
        <v>11</v>
      </c>
      <c r="M19" s="112">
        <v>0</v>
      </c>
      <c r="N19" s="113">
        <v>11</v>
      </c>
      <c r="O19" s="114">
        <v>0.001</v>
      </c>
      <c r="R19" s="87">
        <v>11</v>
      </c>
    </row>
    <row r="20" spans="1:18" ht="12.75">
      <c r="A20" s="6">
        <f>IF(OR(B10=1.25,B10&gt;1.25),"3) Multiply (2) by -1.",IF(AND(B10&lt;1.25,OR(B10=1.05,B10&gt;1.05)),"3) Multiply (2) by -1.",""))</f>
      </c>
      <c r="B20" s="11">
        <f>ROUND(IF(OR(B10=1.25,B10&gt;1.25),B19*-1,IF(AND(B10&lt;1.25,OR(B10=1.05,B10&gt;1.05)),B19*-1,)),6)</f>
        <v>0</v>
      </c>
      <c r="C20" s="11">
        <f>IF(J32=1,ROUND(IF(OR(C10=1.25,C10&gt;1.25),C19*-1,IF(AND(C10&lt;1.25,OR(C10=1.05,C10&gt;1.05)),C19*-1,)),6),"")</f>
      </c>
      <c r="D20" s="6"/>
      <c r="E20" s="81"/>
      <c r="F20" s="6"/>
      <c r="G20" s="6"/>
      <c r="H20" s="107">
        <v>12</v>
      </c>
      <c r="I20" s="108">
        <v>0</v>
      </c>
      <c r="J20" s="109">
        <v>12</v>
      </c>
      <c r="K20" s="110">
        <v>0.000675</v>
      </c>
      <c r="L20" s="111">
        <v>12</v>
      </c>
      <c r="M20" s="112">
        <v>0</v>
      </c>
      <c r="N20" s="113">
        <v>12</v>
      </c>
      <c r="O20" s="114">
        <v>0.001</v>
      </c>
      <c r="R20" s="87">
        <v>12</v>
      </c>
    </row>
    <row r="21" spans="1:18" ht="12.75">
      <c r="A21" s="6">
        <f>IF(OR(B10=1.25,B10&gt;1.25),"4) Raise (3) to 3rd power.",IF(AND(B10&lt;1.25,OR(B10=1.05,B10&gt;1.05)),"4) Raise (3) to 3rd power.",""))</f>
      </c>
      <c r="B21" s="11">
        <f>ROUND(IF(OR(B10=1.25,B10&gt;1.25),B20^3,IF(AND(B10&lt;1.25,OR(B10=1.05,B10&gt;1.05)),B20^3,)),6)</f>
        <v>0</v>
      </c>
      <c r="C21" s="11">
        <f>IF(J32=1,ROUND(IF(OR(C10=1.25,C10&gt;1.25),C20^3,IF(AND(C10&lt;1.25,OR(C10=1.05,C10&gt;1.05)),C20^3,)),6),"")</f>
      </c>
      <c r="D21" s="6"/>
      <c r="E21" s="81"/>
      <c r="F21" s="6"/>
      <c r="G21" s="6"/>
      <c r="H21" s="107">
        <v>13</v>
      </c>
      <c r="I21" s="108">
        <v>0</v>
      </c>
      <c r="J21" s="109">
        <v>13</v>
      </c>
      <c r="K21" s="110">
        <v>0.000675</v>
      </c>
      <c r="L21" s="111">
        <v>13</v>
      </c>
      <c r="M21" s="112">
        <v>0</v>
      </c>
      <c r="N21" s="113">
        <v>13</v>
      </c>
      <c r="O21" s="114">
        <v>0.001</v>
      </c>
      <c r="R21" s="87">
        <v>13</v>
      </c>
    </row>
    <row r="22" spans="1:18" ht="12.75">
      <c r="A22" s="6">
        <f>IF(OR(B10=1.25,B10&gt;1.25),"5) Divide .55 by the current ratio.",IF(AND(B10&lt;1.25,OR(B10=1.05,B10&gt;1.05)),"5) Divide .55 by the current ratio.",""))</f>
      </c>
      <c r="B22" s="11">
        <f>ROUND(IF(OR(B10=1.25,B10&gt;1.25),0.55/B17,IF(AND(B10&lt;1.25,OR(B10=1.05,B10&gt;1.05)),0.55/B17,)),6)</f>
        <v>0</v>
      </c>
      <c r="C22" s="11">
        <f>IF(J32=1,ROUND(IF(OR(C10=1.25,C10&gt;1.25),0.55/C17,IF(AND(C10&lt;1.25,OR(C10=1.05,C10&gt;1.05)),0.55/C17,)),6),"")</f>
      </c>
      <c r="D22" s="6"/>
      <c r="E22" s="81"/>
      <c r="F22" s="6"/>
      <c r="G22" s="6"/>
      <c r="H22" s="107">
        <v>14</v>
      </c>
      <c r="I22" s="108">
        <v>0</v>
      </c>
      <c r="J22" s="109">
        <v>14</v>
      </c>
      <c r="K22" s="110">
        <v>0.000675</v>
      </c>
      <c r="L22" s="111">
        <v>14</v>
      </c>
      <c r="M22" s="112">
        <v>0</v>
      </c>
      <c r="N22" s="113">
        <v>14</v>
      </c>
      <c r="O22" s="114">
        <v>0.001</v>
      </c>
      <c r="R22" s="87">
        <v>14</v>
      </c>
    </row>
    <row r="23" spans="1:18" ht="12.75">
      <c r="A23" s="6">
        <f>IF(OR(B10=1.25,B10&gt;1.25),"6) Raise (5) to 7th power.",IF(AND(B10&lt;1.25,OR(B10=1.05,B10&gt;1.05)),"6) Raise (5) to 7th power.",""))</f>
      </c>
      <c r="B23" s="11">
        <f>ROUND(IF(OR(B10=1.25,B10&gt;1.25),B22^7,IF(AND(B10&lt;1.25,OR(B10=1.05,B10&gt;1.05)),B22^7,)),6)</f>
        <v>0</v>
      </c>
      <c r="C23" s="11">
        <f>IF(J32=1,ROUND(IF(OR(C10=1.25,C10&gt;1.25),C22^7,IF(AND(C10&lt;1.25,OR(C10=1.05,C10&gt;1.05)),C22^7,)),6),"")</f>
      </c>
      <c r="D23" s="6"/>
      <c r="E23" s="81"/>
      <c r="F23" s="6"/>
      <c r="G23" s="6"/>
      <c r="H23" s="107">
        <v>15</v>
      </c>
      <c r="I23" s="108">
        <v>0</v>
      </c>
      <c r="J23" s="109">
        <v>15</v>
      </c>
      <c r="K23" s="110">
        <v>0.000675</v>
      </c>
      <c r="L23" s="111">
        <v>15</v>
      </c>
      <c r="M23" s="112">
        <v>0</v>
      </c>
      <c r="N23" s="113">
        <v>15</v>
      </c>
      <c r="O23" s="114">
        <v>0.001</v>
      </c>
      <c r="R23" s="87">
        <v>15</v>
      </c>
    </row>
    <row r="24" spans="1:18" ht="12.75">
      <c r="A24" s="6">
        <f>IF(OR(B10=1.25,B10&gt;1.25),"7) add (4) to (6).",IF(AND(B10&lt;1.25,OR(B10=1.05,B10&gt;1.05)),"7) add (4) to (6).",""))</f>
      </c>
      <c r="B24" s="11">
        <f>ROUND(IF(OR(B10=1.25,B10&gt;1.25),B21+B23,IF(AND(B10&lt;1.25,OR(B10=1.05,B10&gt;1.05)),B21+B23,)),6)</f>
        <v>0</v>
      </c>
      <c r="C24" s="11">
        <f>IF(J32=1,ROUND(IF(OR(C10=1.25,C10&gt;1.25),C21+C23,IF(AND(C10&lt;1.25,OR(C10=1.05,C10&gt;1.05)),C21+C23,)),6),"")</f>
      </c>
      <c r="D24" s="6"/>
      <c r="E24" s="81"/>
      <c r="F24" s="6"/>
      <c r="G24" s="6"/>
      <c r="H24" s="107">
        <v>16</v>
      </c>
      <c r="I24" s="108">
        <v>0</v>
      </c>
      <c r="J24" s="109">
        <v>16</v>
      </c>
      <c r="K24" s="110">
        <v>0.000675</v>
      </c>
      <c r="L24" s="111">
        <v>16</v>
      </c>
      <c r="M24" s="112">
        <v>0</v>
      </c>
      <c r="N24" s="113">
        <v>16</v>
      </c>
      <c r="O24" s="114">
        <v>0.001</v>
      </c>
      <c r="R24" s="87">
        <v>16</v>
      </c>
    </row>
    <row r="25" spans="1:18" ht="12.75">
      <c r="A25" s="6">
        <f>IF(OR(B10=1.25,B10&gt;1.25),"8) add .075 to (7).",IF(AND(B10&lt;1.25,OR(B10=1.05,B10&gt;1.05)),"8) add .075 to (7).",""))</f>
      </c>
      <c r="B25" s="11">
        <f>ROUND(IF(OR(B10=1.25,B10&gt;1.25),B24+0.075,IF(AND(B10&lt;1.25,OR(B10=1.05,B10&gt;1.05)),B24+0.075,)),6)</f>
        <v>0</v>
      </c>
      <c r="C25" s="11">
        <f>IF(J32=1,ROUND(IF(OR(C10=1.25,C10&gt;1.25),C24+0.075,IF(AND(C10&lt;1.25,OR(C10=1.05,C10&gt;1.05)),C24+0.075,)),6),"")</f>
      </c>
      <c r="D25" s="6"/>
      <c r="H25" s="107">
        <v>17</v>
      </c>
      <c r="I25" s="108">
        <v>0</v>
      </c>
      <c r="J25" s="109">
        <v>17</v>
      </c>
      <c r="K25" s="110">
        <v>0.000675</v>
      </c>
      <c r="L25" s="111">
        <v>17</v>
      </c>
      <c r="M25" s="112">
        <v>0</v>
      </c>
      <c r="N25" s="113">
        <v>17</v>
      </c>
      <c r="O25" s="114">
        <v>0.001</v>
      </c>
      <c r="R25" s="87">
        <v>17</v>
      </c>
    </row>
    <row r="26" spans="1:18" ht="12.75">
      <c r="A26" s="6">
        <f>IF(OR(B10&lt;1,B10=1),"","9) multiply (8) by "&amp;$H$28&amp;". This is the current ratio assessment rate.")</f>
      </c>
      <c r="B26" s="11">
        <f>ROUND(IF(OR(B10=1.25,B10&gt;1.25),B25*$H$28,IF(AND(B10&lt;1.25,OR(B10=1.05,B10&gt;1.05)),B25*$H$28,)),6)</f>
        <v>0</v>
      </c>
      <c r="C26" s="11">
        <f>IF(J32=1,ROUND(IF(OR(C10=1.25,C10&gt;1.25),C25*$H$32,IF(AND(C10&lt;1.25,OR(C10=1.05,C10&gt;1.05)),C25*$H$32,)),6),"")</f>
      </c>
      <c r="E26" s="82"/>
      <c r="F26" s="15"/>
      <c r="G26" s="15"/>
      <c r="H26" s="115">
        <v>18</v>
      </c>
      <c r="I26" s="116">
        <v>0</v>
      </c>
      <c r="J26" s="117">
        <v>18</v>
      </c>
      <c r="K26" s="118">
        <v>0.000675</v>
      </c>
      <c r="L26" s="119">
        <v>18</v>
      </c>
      <c r="M26" s="120">
        <v>0</v>
      </c>
      <c r="N26" s="121">
        <v>18</v>
      </c>
      <c r="O26" s="122">
        <v>0.001</v>
      </c>
      <c r="R26" s="87">
        <v>18</v>
      </c>
    </row>
    <row r="27" spans="1:18" ht="12.75" customHeight="1">
      <c r="A27" s="150">
        <f>IF(ISBLANK($B$9),"","Calculation =  "&amp;DOLLAR($B$9,2)&amp;"  X  "&amp;FIXED(B26,6)&amp;" (current ratio assessment rate)")</f>
      </c>
      <c r="B27" s="151">
        <f>IF(A2="",IF(OR(B10=1.25,B10&gt;1.25),$B$9*B26,IF(AND(B10&lt;1.25,OR(B10=1.05,B10&gt;1.05)),$B$9*B26,IF(B10&lt;1.05,B18*$B$9,0))),"")</f>
        <v>0</v>
      </c>
      <c r="C27" s="152">
        <f>IF(J32=1,IF(OR(C10=1.25,C10&gt;1.25),$B$9*C26,IF(AND(C10&lt;1.25,OR(C10=1.05,C10&gt;1.05)),$B$9*C26,IF(C10&lt;1.05,C18*$B$9,0))),"")</f>
      </c>
      <c r="D27" s="15"/>
      <c r="E27" s="82"/>
      <c r="F27" s="15"/>
      <c r="G27" s="15"/>
      <c r="H27" s="123"/>
      <c r="I27" s="28"/>
      <c r="J27" s="87"/>
      <c r="K27" s="124"/>
      <c r="L27" s="28"/>
      <c r="M27" s="28"/>
      <c r="N27" s="125"/>
      <c r="O27" s="29"/>
      <c r="R27" s="87">
        <v>19</v>
      </c>
    </row>
    <row r="28" spans="1:18" ht="12.75">
      <c r="A28" s="13">
        <f>IF(ISBLANK($B$9),"","Current Ratio Assessment for "&amp;DOLLAR($B$9,2))</f>
      </c>
      <c r="B28" s="14">
        <f>IF(A2="",IF(OR(ISBLANK(B9),L4&gt;0.1),"",IF(B27&lt;0,,B27)),"")</f>
      </c>
      <c r="C28" s="25">
        <f>IF(J32=1,IF(C27&lt;0,,C27),"")</f>
      </c>
      <c r="D28" s="15"/>
      <c r="E28" s="81"/>
      <c r="F28" s="6"/>
      <c r="G28" s="6"/>
      <c r="H28" s="126">
        <f>IF(ISERROR(IF(OR(B10=1.25,B10&gt;1.25),VLOOKUP($B$13,H9:I26,2),VLOOKUP($B$13,J9:K26,2))),,IF(OR(B10=1.25,B10&gt;1.25),VLOOKUP($B$13,H9:I26,2),VLOOKUP($B$13,J9:K26,2)))</f>
        <v>0</v>
      </c>
      <c r="I28" s="28" t="s">
        <v>10</v>
      </c>
      <c r="J28" s="126">
        <f>IF(L28=0,B18,B26)</f>
        <v>0</v>
      </c>
      <c r="K28" s="127" t="s">
        <v>11</v>
      </c>
      <c r="L28" s="123">
        <f>B26</f>
        <v>0</v>
      </c>
      <c r="M28" s="28"/>
      <c r="N28" s="128"/>
      <c r="O28" s="29"/>
      <c r="R28" s="87">
        <v>20</v>
      </c>
    </row>
    <row r="29" spans="1:18" ht="15.75">
      <c r="A29" s="27" t="str">
        <f>IF(L4&gt;0.1,"Debt to Equity Ratio Assessment","Debt to Equity Ratio Assessment   "&amp;IF(AND(OR(B11&lt;0,B11&gt;0),OR(B11&lt;2,B11=2)),"ATCP 100.135(4)(a)",IF(AND(B11&gt;2,B11&lt;2.9),"ATCP 100.135(4)(b)",IF(OR(B11=2.9,B11&gt;2.9,B11="Negative Equity"),"ATCP 100.135(4)(c)",IF(AND(B11=0,B12="no"),"ATCP 100.135(4)(d)","ATCP 100.135(4)(e)")))))</f>
        <v>Debt to Equity Ratio Assessment</v>
      </c>
      <c r="B29" s="18"/>
      <c r="C29" s="6"/>
      <c r="D29" s="6"/>
      <c r="E29" s="81"/>
      <c r="F29" s="6"/>
      <c r="G29" s="6"/>
      <c r="H29" s="89"/>
      <c r="I29" s="89"/>
      <c r="J29" s="89"/>
      <c r="K29" s="89"/>
      <c r="L29" s="89"/>
      <c r="M29" s="28"/>
      <c r="N29" s="125"/>
      <c r="O29" s="29"/>
      <c r="P29" s="89"/>
      <c r="Q29" s="89"/>
      <c r="R29" s="87">
        <v>21</v>
      </c>
    </row>
    <row r="30" spans="1:18" ht="12.75">
      <c r="A30" s="26">
        <f>IF(L4&gt;0.1,"",IF(B11="Negative Equity",B11,IF(AND(OR(B11&lt;0,B11&gt;0),OR(B11&lt;2,B11=2)),"The debt to equity ratio is less than or equal to 2.0:1.",IF(AND(B11&gt;2,B11&lt;2.9),"The debt to equity ratio is greater than 2.1:1, but less than 2.9:1.",IF(OR(B11=2.9,B11&gt;2.9),"The debt to equity ratio is at least 2.9:1.",IF(AND(B11=0,B12="no"),"No financial statement.","No financial statement &amp; producer agent."))))))</f>
      </c>
      <c r="B30" s="29"/>
      <c r="C30" s="6"/>
      <c r="D30" s="6"/>
      <c r="E30" s="81"/>
      <c r="F30" s="6"/>
      <c r="G30" s="6"/>
      <c r="H30" s="126">
        <f>IF(ISERROR(IF(AND(B11&gt;0,OR(B11&lt;2,B11=2)),VLOOKUP($B$13,L9:M26,2),VLOOKUP($B$13,N9:O26,2))),,IF(AND(B11&gt;0,OR(B11&lt;2,B11=2)),VLOOKUP($B$13,L9:M26,2),VLOOKUP($B$13,N9:O26,2)))</f>
        <v>0</v>
      </c>
      <c r="I30" s="28" t="s">
        <v>13</v>
      </c>
      <c r="J30" s="126">
        <f>ROUND(IF(L30=0,$B$32,IF(AND(L30&lt;0,B12="Yes"),0.590704*0.00225,$B$39)),6)</f>
        <v>0</v>
      </c>
      <c r="K30" s="28" t="s">
        <v>14</v>
      </c>
      <c r="L30" s="123">
        <f>$B$39</f>
        <v>0</v>
      </c>
      <c r="R30" s="87">
        <v>22</v>
      </c>
    </row>
    <row r="31" spans="1:18" ht="12.75">
      <c r="A31" s="16" t="s">
        <v>12</v>
      </c>
      <c r="B31" s="9">
        <f>B11</f>
        <v>0</v>
      </c>
      <c r="C31" s="17">
        <f>IF(J34=1,C11,"")</f>
      </c>
      <c r="D31" s="6"/>
      <c r="E31" s="81"/>
      <c r="F31" s="6"/>
      <c r="G31" s="6"/>
      <c r="H31" s="68"/>
      <c r="I31" s="68"/>
      <c r="R31" s="87">
        <v>23</v>
      </c>
    </row>
    <row r="32" spans="1:18" ht="12.75">
      <c r="A32" s="6">
        <f>IF(ISBLANK(B11),"",IF(AND(OR(B11&lt;0,B11&gt;0),OR(B11&lt;2,B11=2)),"1) Subtract 2 from the debt to equity ratio.",IF(AND(B11&gt;2,B11&lt;2.9),"1) Subtract 2 from the debt to equity ratio.",IF(OR(B11=2.9,B11&gt;2.9,B11="Negative Equity"),"8) .590704 times "&amp;TEXT(H30,"0.000000")&amp;". "&amp;I37,IF(AND(B11=0,B12="no"),"8) .11325375 times "&amp;TEXT(H30,"0.000000")&amp;". "&amp;I37,"8) The assessment rate is "&amp;J30&amp;".")))))</f>
      </c>
      <c r="B32" s="11">
        <f>ROUND(IF(ISBLANK(B11),,IF(AND(OR(B11&lt;0,B11&gt;0),OR(B11&lt;2,B11=2)),B31-2,IF(AND(B11&gt;2,B11&lt;2.9),B31-2,IF(OR(B11&gt;=2.9,B11="Negative Equity"),0.590704*$H$30,IF(AND(B11=0,B12="no"),0.11325375*$H$30,IF(B13&gt;4,0.000175,0.00025)))))),6)</f>
        <v>0</v>
      </c>
      <c r="C32" s="11">
        <f>IF(J34=1,ROUND(IF(AND(OR(C11&lt;0,C11&gt;0),OR(C11&lt;2,C11=2)),C31-2,IF(AND(C11&gt;2,C11&lt;2.9),C31-2,IF(OR(C11=2.9,C11&gt;2.9),0.590704*$H$34,IF(AND(C11=0,C12="no"),0.11325375*$H$34,IF(C13&gt;4,0.000175,0.00025))))),6),"")</f>
      </c>
      <c r="D32" s="6"/>
      <c r="E32" s="81"/>
      <c r="F32" s="6"/>
      <c r="G32" s="6"/>
      <c r="H32" s="129">
        <f>IF(ISERROR(IF(C10&gt;=1.25,VLOOKUP(C13,H9:I26,2),VLOOKUP(C13,J9:K26,2))),,IF(C10&gt;=1.25,VLOOKUP(C13,H9:I26,2),VLOOKUP(C13,J9:K26,2)))</f>
        <v>0</v>
      </c>
      <c r="I32" s="130" t="s">
        <v>15</v>
      </c>
      <c r="J32" s="131">
        <f>IF(OR(ISBLANK(C10),ISBLANK(C12),ISBLANK(C13)),,1)</f>
        <v>0</v>
      </c>
      <c r="R32" s="87">
        <v>24</v>
      </c>
    </row>
    <row r="33" spans="1:18" ht="12.75">
      <c r="A33" s="6">
        <f>IF(AND(OR(B11&lt;0,B11&gt;0),OR(B11&lt;2,B11=2)),"2) Divide (1) by 3.",IF(AND(B11&gt;2,B11&lt;2.9),"2) Divide (1) by 3.",""))</f>
      </c>
      <c r="B33" s="11">
        <f>ROUND(IF(AND(OR(B11&lt;0,B11&gt;0),OR(B11&lt;2,B11=2)),B32/3,IF(AND(B11&gt;2,B11&lt;2.9),B32/3,0)),6)</f>
        <v>0</v>
      </c>
      <c r="C33" s="11">
        <f>IF(J34=1,ROUND(IF(AND(OR(C11&lt;0,C11&gt;0),OR(C11&lt;2,C11=2)),C32/3,IF(AND(C11&gt;2,C11&lt;2.9),C32/3,0)),6),"")</f>
      </c>
      <c r="D33" s="6"/>
      <c r="E33" s="81"/>
      <c r="F33" s="6"/>
      <c r="G33" s="6"/>
      <c r="H33" s="89"/>
      <c r="I33" s="89"/>
      <c r="R33" s="87">
        <v>25</v>
      </c>
    </row>
    <row r="34" spans="1:10" ht="12.75">
      <c r="A34" s="6">
        <f>IF(AND(OR(B11&lt;0,B11&gt;0),OR(B11&lt;2,B11=2)),"3) Raise (2) to 9th power.",IF(AND(B11&gt;2,B11&lt;2.9),"3) Raise (2) to 9th power.",""))</f>
      </c>
      <c r="B34" s="11">
        <f>ROUND(IF(AND(OR(B11&lt;0,B11&gt;0),OR(B11&lt;2,B11=2)),B33^9,IF(AND(B11&gt;2,B11&lt;2.9),B33^9,0)),6)</f>
        <v>0</v>
      </c>
      <c r="C34" s="11">
        <f>IF(J34=1,ROUND(IF(AND(OR(C11&lt;0,C11&gt;0),OR(C11&lt;2,C11=2)),C33^9,IF(AND(C11&gt;2,C11&lt;2.9),C33^9,0)),6),"")</f>
      </c>
      <c r="D34" s="6"/>
      <c r="E34" s="81"/>
      <c r="F34" s="6"/>
      <c r="G34" s="6"/>
      <c r="H34" s="129">
        <f>IF(ISERROR(IF(AND(C11&gt;0,OR(C11&lt;2,C11=2)),VLOOKUP(C13,L9:M26,2),VLOOKUP(C13,N9:O26,2))),,IF(AND(C11&gt;0,OR(C11&lt;2,C11=2)),VLOOKUP(C13,L9:M26,2),VLOOKUP(C13,N9:O26,2)))</f>
        <v>0</v>
      </c>
      <c r="I34" s="130" t="s">
        <v>16</v>
      </c>
      <c r="J34" s="131">
        <f>IF(OR(ISBLANK(C11),ISBLANK(C12),ISBLANK(C13)),,1)</f>
        <v>0</v>
      </c>
    </row>
    <row r="35" spans="1:8" ht="12.75">
      <c r="A35" s="6">
        <f>IF(AND(OR(B11&lt;0,B11&gt;0),OR(B11&lt;2,B11=2)),"4) Divide the debt to equity ratio by 3.25.",IF(AND(B11&gt;2,B11&lt;2.9),"4) Divide the debt to equity ratio by 3.25.",""))</f>
      </c>
      <c r="B35" s="11">
        <f>ROUND(IF(AND(OR(B11&lt;0,B11&gt;0),OR(B11&lt;2,B11=2)),B31/3.25,IF(AND(B11&gt;2,B11&lt;2.9),B31/3.25,0)),6)</f>
        <v>0</v>
      </c>
      <c r="C35" s="11">
        <f>IF(J34=1,ROUND(IF(AND(OR(C11&lt;0,C11&gt;0),OR(C11&lt;2,C11=2)),C31/3.25,IF(AND(C11&gt;2,C11&lt;2.9),C31/3.25,0)),6),"")</f>
      </c>
      <c r="D35" s="6"/>
      <c r="E35" s="81"/>
      <c r="F35" s="6"/>
      <c r="G35" s="6"/>
      <c r="H35" s="6"/>
    </row>
    <row r="36" spans="1:11" ht="12.75">
      <c r="A36" s="6">
        <f>IF(AND(OR(B11&lt;0,B11&gt;0),OR(B11&lt;2,B11=2)),"5) Raise (4) to 5th power.",IF(AND(B11&gt;2,B11&lt;2.9),"5) Raise (4) to 5th power.",""))</f>
      </c>
      <c r="B36" s="11">
        <f>ROUND(IF(AND(OR(B11&lt;0,B11&gt;0),OR(B11&lt;2,B11=2)),B35^5,IF(AND(B11&gt;2,B11&lt;2.9),B35^5,0)),6)</f>
        <v>0</v>
      </c>
      <c r="C36" s="11">
        <f>IF(J34=1,ROUND(IF(AND(OR(C11&lt;0,C11&gt;0),OR(C11&lt;2,C11=2)),C35^5,IF(AND(C11&gt;2,C11&lt;2.9),C35^5,0)),6),"")</f>
      </c>
      <c r="D36" s="6"/>
      <c r="E36" s="81"/>
      <c r="F36" s="6"/>
      <c r="G36" s="6"/>
      <c r="H36" s="6"/>
      <c r="I36" s="91" t="s">
        <v>17</v>
      </c>
      <c r="J36" s="132">
        <f>IF(J37=1,,1)</f>
        <v>1</v>
      </c>
      <c r="K36" s="133" t="e">
        <f>VLOOKUP(B13,L9:M26,2,FALSE())</f>
        <v>#N/A</v>
      </c>
    </row>
    <row r="37" spans="1:11" ht="12.75">
      <c r="A37" s="6">
        <f>IF(AND(OR(B11&lt;0,B11&gt;0),OR(B11&lt;2,B11=2)),"6) Add (3) and (5).",IF(AND(B11&gt;2,B11&lt;2.9),"6) Add (3) and (5).",""))</f>
      </c>
      <c r="B37" s="11">
        <f>ROUND(IF(AND(OR(B11&lt;0,B11&gt;0),OR(B11&lt;2,B11=2)),B34+B36,IF(AND(B11&gt;2,B11&lt;2.9),B34+B36,0)),6)</f>
        <v>0</v>
      </c>
      <c r="C37" s="11">
        <f>IF(J34=1,ROUND(IF(AND(OR(C11&lt;0,C11&gt;0),OR(C11&lt;2,C11=2)),C34+C36,IF(AND(C11&gt;2,C11&lt;2.9),C34+C36,0)),6),"")</f>
      </c>
      <c r="D37" s="6"/>
      <c r="E37" s="81"/>
      <c r="F37" s="6"/>
      <c r="G37" s="6"/>
      <c r="I37" s="91" t="s">
        <v>18</v>
      </c>
      <c r="J37" s="132">
        <f>IF(G7=1,1,)</f>
        <v>0</v>
      </c>
      <c r="K37" s="133" t="e">
        <f>VLOOKUP(B13,N9:O26,2,FALSE())</f>
        <v>#N/A</v>
      </c>
    </row>
    <row r="38" spans="1:18" s="89" customFormat="1" ht="13.5" thickBot="1">
      <c r="A38" s="6">
        <f>IF(AND(OR(B11&lt;0,B11&gt;0),OR(B11&lt;2,B11=2)),"7) Add 0.025 to (6).",IF(AND(B11&gt;2,B11&lt;2.9),"7) Add 0.025 to (6).",""))</f>
      </c>
      <c r="B38" s="11">
        <f>ROUND(IF(AND(OR(B11&lt;0,B11&gt;0),OR(B11&lt;2,B11=2)),B37+0.025,IF(AND(B11&gt;2,B11&lt;2.9),B37+0.025,0)),6)</f>
        <v>0</v>
      </c>
      <c r="C38" s="11">
        <f>IF(J34=1,ROUND(IF(AND(OR(C11&lt;0,C11&gt;0),OR(C11&lt;2,C11=2)),C37+0.025,IF(AND(C11&gt;2,C11&lt;2.9),C37+0.025,0)),6),"")</f>
      </c>
      <c r="D38" s="6"/>
      <c r="E38" s="78"/>
      <c r="F38" s="12"/>
      <c r="G38" s="12"/>
      <c r="H38" s="15"/>
      <c r="I38" s="134">
        <f>IF(AND(ISNUMBER(B10),B10=0,OR(AND(ISNUMBER(B11),B11&gt;0),B11="Negative Equity")),"Please enter a current ratio greater than zero, or enter a debt to equity ratio of ZERO.",IF(AND(ISNUMBER(B11),B11=0,OR(AND(ISNUMBER(B10),B10&gt;0))),"Please enter a debt to equity ratio greater than zero, or enter a current ratio of ZERO.",""))</f>
      </c>
      <c r="J38" s="68"/>
      <c r="K38" s="68"/>
      <c r="L38" s="68"/>
      <c r="M38" s="68"/>
      <c r="N38" s="68"/>
      <c r="O38" s="68"/>
      <c r="P38" s="68"/>
      <c r="Q38" s="68"/>
      <c r="R38" s="135"/>
    </row>
    <row r="39" spans="1:12" ht="13.5" customHeight="1" thickTop="1">
      <c r="A39" s="6">
        <f>IF(OR(B11=0,B11&gt;3),"","8)Mulitply (7) by "&amp;$H$30&amp;". This is the debt to equity ratio assessment rate.")</f>
      </c>
      <c r="B39" s="11">
        <f>ROUND(IF(AND(OR(B11&lt;0,B11&gt;0),OR(B11&lt;2,B11=2)),B38*H30,IF(AND(B11&gt;2,B11&lt;2.9),B38*H30,0)),6)</f>
        <v>0</v>
      </c>
      <c r="C39" s="11">
        <f>IF(J34=1,ROUND(IF(AND(OR(C11&lt;0,C11&gt;0),OR(C11&lt;2,C11=2)),C38*H34,IF(AND(C11&gt;2,C11&lt;2.9),C38*H34,0)),6),"")</f>
      </c>
      <c r="E39" s="82"/>
      <c r="F39" s="15"/>
      <c r="G39" s="15"/>
      <c r="H39" s="6"/>
      <c r="I39" s="136"/>
      <c r="J39" s="137" t="s">
        <v>39</v>
      </c>
      <c r="K39" s="138" t="s">
        <v>38</v>
      </c>
      <c r="L39" s="139"/>
    </row>
    <row r="40" spans="1:12" ht="13.5" customHeight="1">
      <c r="A40" s="150">
        <f>IF(ISBLANK($B$9),"","Calculation = "&amp;DOLLAR($B$9,2)&amp;"  X  "&amp;FIXED(B39,6)&amp;" (debt to equity ratio assessment rate)")</f>
      </c>
      <c r="B40" s="156">
        <f>IF(A2="",IF(OR(B39&lt;0,B39&gt;0),B39*$B$9,IF(B32&gt;0,B32,)*$B$9),"")</f>
        <v>0</v>
      </c>
      <c r="C40" s="153">
        <f>IF(J34=1,IF(OR(C39&lt;0,C39&gt;0),C39*$B$9,IF(C32&gt;0,C32,)*$B$9),"")</f>
      </c>
      <c r="D40" s="15"/>
      <c r="E40" s="82"/>
      <c r="F40" s="15"/>
      <c r="G40" s="15"/>
      <c r="H40" s="6"/>
      <c r="I40" s="140"/>
      <c r="J40" s="141"/>
      <c r="K40" s="142"/>
      <c r="L40" s="143"/>
    </row>
    <row r="41" spans="1:18" s="89" customFormat="1" ht="19.5" customHeight="1">
      <c r="A41" s="13">
        <f>IF(ISBLANK($B$9),"","Debt to Equity Assessment for "&amp;DOLLAR($B$9,2))</f>
      </c>
      <c r="B41" s="155">
        <f>IF(A2="",IF(OR(ISBLANK(B9),L4&gt;0.1),"",IF(B40&lt;0,,B40)),"")</f>
      </c>
      <c r="C41" s="154">
        <f>IF(J34=1,IF(C40&lt;0,,C40),"")</f>
      </c>
      <c r="D41" s="15"/>
      <c r="E41" s="81"/>
      <c r="F41" s="6"/>
      <c r="G41" s="6"/>
      <c r="H41" s="15"/>
      <c r="I41" s="144" t="e">
        <f>IF(B43=I42,DOLLAR(I42,0)&amp;" is the minimum assessment for payroll obligations "&amp;VLOOKUP(I42,$K$41:$L$43,2,FALSE())&amp;".","")</f>
        <v>#VALUE!</v>
      </c>
      <c r="J41" s="145">
        <v>0</v>
      </c>
      <c r="K41" s="146">
        <v>100</v>
      </c>
      <c r="L41" s="147" t="str">
        <f>"less than "&amp;DOLLAR(J42,0)</f>
        <v>less than $1,500,000</v>
      </c>
      <c r="M41" s="68"/>
      <c r="N41" s="68"/>
      <c r="O41" s="68"/>
      <c r="P41" s="68"/>
      <c r="Q41" s="68"/>
      <c r="R41" s="135"/>
    </row>
    <row r="42" spans="1:12" ht="13.5" customHeight="1">
      <c r="A42" s="13">
        <f>IF(ISBLANK($B$9),"","Less 20% ")</f>
      </c>
      <c r="B42" s="155">
        <f>IF(A2="",IF(OR(ISBLANK(B9),L4&gt;0.1),"",IF(B41&lt;0,,-(B28+B41)*0.2)),"")</f>
      </c>
      <c r="C42" s="154">
        <f>IF(J34=1,IF(C41&lt;0,,-(C41+C28)*0.2),"")</f>
      </c>
      <c r="D42" s="6"/>
      <c r="E42" s="81"/>
      <c r="F42" s="6"/>
      <c r="G42" s="6"/>
      <c r="H42" s="6"/>
      <c r="I42" s="148" t="e">
        <f>IF(ISNA(VLOOKUP(B9,$J$41:$K$43,2,TRUE())),"",IF(I43="minimum",VLOOKUP(B9,$J$41:$K$43,2,TRUE()),""))</f>
        <v>#VALUE!</v>
      </c>
      <c r="J42" s="145">
        <v>1500000</v>
      </c>
      <c r="K42" s="146">
        <v>200</v>
      </c>
      <c r="L42" s="147" t="str">
        <f>"of at least "&amp;DOLLAR(J42,0)&amp;", but less than "&amp;DOLLAR(J43,0)</f>
        <v>of at least $1,500,000, but less than $6,000,000</v>
      </c>
    </row>
    <row r="43" spans="1:12" ht="13.5" customHeight="1" thickBot="1">
      <c r="A43" s="18">
        <f>IF(ISBLANK($B$9),"","Total Assessment for  "&amp;DOLLAR($B$9,2))</f>
      </c>
      <c r="B43" s="19" t="e">
        <f>IF(A2="",IF(IF(B27&lt;0,,B27)+IF(B40&lt;0,,B40+B42)&lt;IF(B9&lt;1500000,100,IF(B9&lt;6000000,200,500)),IF(B9&lt;1500000,100,IF(B9&lt;6000000,200,500)),IF(B27&lt;0,,B27)+IF(B40&lt;0,,B40+B42)),"")</f>
        <v>#VALUE!</v>
      </c>
      <c r="C43" s="19">
        <f>IF(AND(J32=1,J34=1),IF(IF(C27&lt;0,,C27)+IF(C40&lt;0,,C40+C42)&lt;IF(B9&lt;1500000,100,IF(B9&lt;6000000,200,500)),IF(B9&lt;1500000,100,IF(B9&lt;6000000,200,500)),IF(C27&lt;0,,C27)+IF(C40&lt;0,,C40+C42)),"")</f>
      </c>
      <c r="D43" s="6"/>
      <c r="E43" s="82"/>
      <c r="F43" s="15"/>
      <c r="G43" s="15"/>
      <c r="H43" s="6"/>
      <c r="I43" s="83" t="e">
        <f>IF(B27+B40&lt;B43,"minimum","")</f>
        <v>#VALUE!</v>
      </c>
      <c r="J43" s="84">
        <v>6000000</v>
      </c>
      <c r="K43" s="85">
        <v>500</v>
      </c>
      <c r="L43" s="86" t="str">
        <f>"of "&amp;DOLLAR(J43,0)&amp;" or more"</f>
        <v>of $6,000,000 or more</v>
      </c>
    </row>
    <row r="44" spans="1:13" ht="12.75" customHeight="1" thickTop="1">
      <c r="A44" s="6"/>
      <c r="B44" s="6"/>
      <c r="C44" s="6"/>
      <c r="D44" s="15"/>
      <c r="E44" s="81"/>
      <c r="F44" s="6"/>
      <c r="G44" s="6"/>
      <c r="H44" s="6"/>
      <c r="I44" s="31">
        <f>IF(OR(G3=1,G4=1),"Go To Milk Contractor Security","")</f>
      </c>
      <c r="M44" s="88"/>
    </row>
    <row r="45" spans="1:8" ht="15.75" customHeight="1">
      <c r="A45" s="165" t="e">
        <f>I41</f>
        <v>#VALUE!</v>
      </c>
      <c r="B45" s="165"/>
      <c r="C45" s="15"/>
      <c r="D45" s="6"/>
      <c r="E45" s="81"/>
      <c r="F45" s="6"/>
      <c r="G45" s="6"/>
      <c r="H45" s="6"/>
    </row>
    <row r="46" spans="1:17" ht="12.75" customHeight="1" hidden="1">
      <c r="A46" s="166"/>
      <c r="B46" s="166"/>
      <c r="C46" s="6"/>
      <c r="D46" s="6"/>
      <c r="E46" s="81"/>
      <c r="F46" s="6"/>
      <c r="G46" s="6"/>
      <c r="H46" s="6"/>
      <c r="I46" s="60">
        <f>IF(AND(L4=0,'Milk Contractor Security'!H21=1),'Milk Contractor Security'!I21,IF(ISBLANK(K46),"","What if - Assessment Reduction for Estimated Default Exposure"))</f>
      </c>
      <c r="J46" s="76">
        <f>IF(AND(L4=0,'Milk Contractor Security'!H21=1),-'Milk Contractor Security'!J21,"")</f>
      </c>
      <c r="K46" s="159"/>
      <c r="L46" s="90" t="s">
        <v>42</v>
      </c>
      <c r="M46" s="89"/>
      <c r="N46" s="89"/>
      <c r="O46" s="89"/>
      <c r="P46" s="89"/>
      <c r="Q46" s="89"/>
    </row>
    <row r="47" spans="1:11" ht="12.75" hidden="1">
      <c r="A47" s="6"/>
      <c r="B47" s="6"/>
      <c r="C47" s="6"/>
      <c r="D47" s="6"/>
      <c r="E47" s="81"/>
      <c r="F47" s="6"/>
      <c r="G47" s="6"/>
      <c r="H47" s="6"/>
      <c r="I47" s="60">
        <f>IF(J47="",IF(K47="","","What if - Adjusted "&amp;A43&amp;IF(AND(J47=B6,I43="minimum"),"  (minimum assessment)","")),"Adjusted "&amp;A43&amp;IF(AND(J47=B6,I43="minimum"),"  (minimum assessment)",""))</f>
      </c>
      <c r="J47" s="77">
        <f>IF(J46="","",B6+J46)</f>
      </c>
      <c r="K47" s="160">
        <f>IF(ISBLANK(K46),"",C6+K46)</f>
      </c>
    </row>
    <row r="48" spans="1:7" ht="12.75" hidden="1">
      <c r="A48" s="158" t="s">
        <v>41</v>
      </c>
      <c r="B48" s="6"/>
      <c r="C48" s="6"/>
      <c r="D48" s="6"/>
      <c r="E48" s="81"/>
      <c r="F48" s="6"/>
      <c r="G48" s="6"/>
    </row>
    <row r="49" spans="1:7" ht="12.75" hidden="1">
      <c r="A49" s="6"/>
      <c r="B49" s="6"/>
      <c r="C49" s="6"/>
      <c r="D49" s="6"/>
      <c r="E49" s="81"/>
      <c r="F49" s="6"/>
      <c r="G49" s="6"/>
    </row>
    <row r="50" spans="1:4" ht="12.75" hidden="1">
      <c r="A50" s="6"/>
      <c r="B50" s="6"/>
      <c r="C50" s="6"/>
      <c r="D50" s="6"/>
    </row>
    <row r="51" spans="1:3" ht="12.75" hidden="1">
      <c r="A51" s="6"/>
      <c r="B51" s="6"/>
      <c r="C51" s="6"/>
    </row>
    <row r="52" ht="12.75" hidden="1"/>
    <row r="53" ht="12.75" hidden="1"/>
  </sheetData>
  <sheetProtection password="87E5" sheet="1"/>
  <mergeCells count="3">
    <mergeCell ref="A2:C2"/>
    <mergeCell ref="A1:C1"/>
    <mergeCell ref="A45:B46"/>
  </mergeCells>
  <conditionalFormatting sqref="K46:K47 A2">
    <cfRule type="cellIs" priority="1" dxfId="23" operator="equal" stopIfTrue="1">
      <formula>""</formula>
    </cfRule>
  </conditionalFormatting>
  <conditionalFormatting sqref="I44">
    <cfRule type="cellIs" priority="2" dxfId="44" operator="equal" stopIfTrue="1">
      <formula>"Go To Milk Contractor Security"</formula>
    </cfRule>
  </conditionalFormatting>
  <conditionalFormatting sqref="C27:C28 C40:C42">
    <cfRule type="cellIs" priority="3" dxfId="21" operator="equal" stopIfTrue="1">
      <formula>""</formula>
    </cfRule>
  </conditionalFormatting>
  <conditionalFormatting sqref="A28">
    <cfRule type="cellIs" priority="4" dxfId="45" operator="notEqual" stopIfTrue="1">
      <formula>""</formula>
    </cfRule>
  </conditionalFormatting>
  <conditionalFormatting sqref="J30">
    <cfRule type="cellIs" priority="5" dxfId="46" operator="equal" stopIfTrue="1">
      <formula>0</formula>
    </cfRule>
  </conditionalFormatting>
  <conditionalFormatting sqref="C43">
    <cfRule type="cellIs" priority="6" dxfId="47" operator="equal" stopIfTrue="1">
      <formula>""</formula>
    </cfRule>
  </conditionalFormatting>
  <conditionalFormatting sqref="A17:B17">
    <cfRule type="cellIs" priority="7" dxfId="48" operator="notEqual" stopIfTrue="1">
      <formula>""</formula>
    </cfRule>
  </conditionalFormatting>
  <conditionalFormatting sqref="C17">
    <cfRule type="cellIs" priority="8" dxfId="49" operator="notEqual" stopIfTrue="1">
      <formula>""</formula>
    </cfRule>
  </conditionalFormatting>
  <conditionalFormatting sqref="A18:C26 A32:C39">
    <cfRule type="cellIs" priority="9" dxfId="50" operator="notEqual" stopIfTrue="1">
      <formula>""</formula>
    </cfRule>
  </conditionalFormatting>
  <conditionalFormatting sqref="A9">
    <cfRule type="cellIs" priority="10" dxfId="51" operator="equal" stopIfTrue="1">
      <formula>"Enter Total Annual Milk Payroll Obligations (for fiscal year)"</formula>
    </cfRule>
  </conditionalFormatting>
  <conditionalFormatting sqref="A10">
    <cfRule type="cellIs" priority="11" dxfId="51" operator="equal" stopIfTrue="1">
      <formula>"Enter the Current Ratio"</formula>
    </cfRule>
  </conditionalFormatting>
  <conditionalFormatting sqref="A11">
    <cfRule type="cellIs" priority="12" dxfId="51" operator="equal" stopIfTrue="1">
      <formula>"Enter the Debt to Equity Ratio"</formula>
    </cfRule>
  </conditionalFormatting>
  <conditionalFormatting sqref="A13">
    <cfRule type="cellIs" priority="13" dxfId="51" operator="equal" stopIfTrue="1">
      <formula>"Enter Years of Consecutive Participation (include current year)"</formula>
    </cfRule>
    <cfRule type="cellIs" priority="14" dxfId="52" operator="equal" stopIfTrue="1">
      <formula>"     Must Contribute - Enter '1' &gt;&gt;&gt;"</formula>
    </cfRule>
  </conditionalFormatting>
  <conditionalFormatting sqref="A12">
    <cfRule type="cellIs" priority="15" dxfId="51" operator="equal" stopIfTrue="1">
      <formula>"Is this for a QUALIFIED Producer Agent?"</formula>
    </cfRule>
  </conditionalFormatting>
  <conditionalFormatting sqref="B28">
    <cfRule type="cellIs" priority="16" dxfId="53" operator="notEqual" stopIfTrue="1">
      <formula>""</formula>
    </cfRule>
  </conditionalFormatting>
  <conditionalFormatting sqref="B27">
    <cfRule type="cellIs" priority="17" dxfId="54" operator="notEqual" stopIfTrue="1">
      <formula>0</formula>
    </cfRule>
  </conditionalFormatting>
  <conditionalFormatting sqref="A27">
    <cfRule type="cellIs" priority="18" dxfId="54" operator="notEqual" stopIfTrue="1">
      <formula>""</formula>
    </cfRule>
  </conditionalFormatting>
  <conditionalFormatting sqref="C31">
    <cfRule type="cellIs" priority="19" dxfId="55" operator="notEqual" stopIfTrue="1">
      <formula>""</formula>
    </cfRule>
  </conditionalFormatting>
  <conditionalFormatting sqref="B40">
    <cfRule type="cellIs" priority="20" dxfId="56" operator="notEqual" stopIfTrue="1">
      <formula>0</formula>
    </cfRule>
  </conditionalFormatting>
  <conditionalFormatting sqref="B41:B42">
    <cfRule type="cellIs" priority="21" dxfId="57" operator="notEqual" stopIfTrue="1">
      <formula>0</formula>
    </cfRule>
  </conditionalFormatting>
  <conditionalFormatting sqref="A31:B31">
    <cfRule type="cellIs" priority="22" dxfId="58" operator="notEqual" stopIfTrue="1">
      <formula>""</formula>
    </cfRule>
  </conditionalFormatting>
  <conditionalFormatting sqref="A40">
    <cfRule type="cellIs" priority="23" dxfId="56" operator="notEqual" stopIfTrue="1">
      <formula>""</formula>
    </cfRule>
  </conditionalFormatting>
  <conditionalFormatting sqref="A41:A42">
    <cfRule type="cellIs" priority="24" dxfId="59" operator="notEqual" stopIfTrue="1">
      <formula>""</formula>
    </cfRule>
  </conditionalFormatting>
  <dataValidations count="6">
    <dataValidation type="decimal" operator="lessThan" allowBlank="1" showErrorMessage="1" errorTitle="Data Entry Error" error="You must enter an amount less than zero." sqref="K46">
      <formula1>0</formula1>
    </dataValidation>
    <dataValidation type="list" allowBlank="1" showErrorMessage="1" errorTitle="Data Entry Error" error="Choose from drop-down list." sqref="B12:C12">
      <formula1>$Q$7:$Q$9</formula1>
    </dataValidation>
    <dataValidation type="list" allowBlank="1" showErrorMessage="1" errorTitle="Data Entry Error" error="Choose a number from the drop-down list." sqref="C13">
      <formula1>$R$7:$R$32</formula1>
    </dataValidation>
    <dataValidation type="decimal" operator="greaterThanOrEqual" allowBlank="1" showErrorMessage="1" errorTitle="Data Entry Error" error="Enter a number equal to or greater than zero." sqref="B10 C10">
      <formula1>0</formula1>
    </dataValidation>
    <dataValidation type="list" allowBlank="1" showErrorMessage="1" errorTitle="Data Entry Error" error="Choose a number from the drop-down list." sqref="B13">
      <formula1>$R$7:$R$33</formula1>
    </dataValidation>
    <dataValidation operator="greaterThanOrEqual" allowBlank="1" showErrorMessage="1" errorTitle="Data Entry Error" error="Enter a number equal to or greater than zero." sqref="B11 C11"/>
  </dataValidations>
  <printOptions/>
  <pageMargins left="0.75" right="0.75" top="1" bottom="1" header="0.5" footer="0.5"/>
  <pageSetup horizontalDpi="600" verticalDpi="600" orientation="portrait" r:id="rId3"/>
  <headerFooter alignWithMargins="0">
    <oddFooter>&amp;C&amp;"Arial,Bold"&amp;14NOT AN INVOICE
FOR CALCULATION PURPOSES ONLY</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DATCP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ZIMDAPH</dc:creator>
  <cp:keywords/>
  <dc:description/>
  <cp:lastModifiedBy>Ronnerud, Lori B</cp:lastModifiedBy>
  <cp:lastPrinted>2018-03-08T21:46:11Z</cp:lastPrinted>
  <dcterms:created xsi:type="dcterms:W3CDTF">2003-09-19T13:18:13Z</dcterms:created>
  <dcterms:modified xsi:type="dcterms:W3CDTF">2018-03-29T18:59:47Z</dcterms:modified>
  <cp:category/>
  <cp:version/>
  <cp:contentType/>
  <cp:contentStatus/>
</cp:coreProperties>
</file>